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jak\Desktop\2025 Excelsior Budget\"/>
    </mc:Choice>
  </mc:AlternateContent>
  <xr:revisionPtr revIDLastSave="0" documentId="8_{31ED45EA-77EE-4E44-B256-F3E416334C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2025 Budget" sheetId="1" r:id="rId1"/>
    <sheet name="Ins Budget" sheetId="14" r:id="rId2"/>
    <sheet name="Bldg 1" sheetId="2" r:id="rId3"/>
    <sheet name="Bldg 2" sheetId="3" r:id="rId4"/>
    <sheet name="Bldg 3" sheetId="4" r:id="rId5"/>
    <sheet name="Bldg 4" sheetId="5" r:id="rId6"/>
    <sheet name="Bldg 5" sheetId="6" r:id="rId7"/>
    <sheet name="Gulf" sheetId="8" r:id="rId8"/>
    <sheet name="NV" sheetId="9" r:id="rId9"/>
    <sheet name="SV" sheetId="10" r:id="rId10"/>
    <sheet name="Annual" sheetId="13" r:id="rId1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3" l="1"/>
  <c r="D55" i="10"/>
  <c r="D54" i="10"/>
  <c r="D48" i="10"/>
  <c r="D46" i="10"/>
  <c r="D40" i="10"/>
  <c r="D42" i="10" s="1"/>
  <c r="D31" i="10"/>
  <c r="D30" i="10"/>
  <c r="D32" i="10" s="1"/>
  <c r="D36" i="10" s="1"/>
  <c r="D55" i="9"/>
  <c r="D48" i="9"/>
  <c r="D46" i="9"/>
  <c r="D42" i="9"/>
  <c r="D40" i="9"/>
  <c r="D36" i="9"/>
  <c r="D50" i="8"/>
  <c r="D48" i="8"/>
  <c r="D44" i="8"/>
  <c r="D42" i="8"/>
  <c r="D38" i="8"/>
  <c r="D57" i="6"/>
  <c r="D50" i="6"/>
  <c r="D48" i="6"/>
  <c r="D44" i="6"/>
  <c r="D42" i="6"/>
  <c r="D38" i="6"/>
  <c r="D56" i="5"/>
  <c r="D57" i="5"/>
  <c r="D38" i="5"/>
  <c r="D50" i="5"/>
  <c r="D48" i="5"/>
  <c r="D44" i="5"/>
  <c r="D42" i="5"/>
  <c r="D58" i="4"/>
  <c r="D49" i="4"/>
  <c r="D47" i="4"/>
  <c r="D45" i="4"/>
  <c r="D39" i="4"/>
  <c r="D55" i="3"/>
  <c r="D56" i="3"/>
  <c r="D42" i="3"/>
  <c r="D44" i="3" s="1"/>
  <c r="D52" i="2"/>
  <c r="D48" i="3"/>
  <c r="D50" i="2"/>
  <c r="D46" i="2"/>
  <c r="C31" i="13"/>
  <c r="B12" i="13"/>
  <c r="B11" i="13"/>
  <c r="B10" i="13"/>
  <c r="B9" i="13"/>
  <c r="B8" i="13"/>
  <c r="B7" i="13"/>
  <c r="B6" i="13"/>
  <c r="B5" i="13"/>
  <c r="D14" i="13"/>
  <c r="D9" i="8"/>
  <c r="D12" i="8" s="1"/>
  <c r="D9" i="6"/>
  <c r="D12" i="6" s="1"/>
  <c r="D9" i="5"/>
  <c r="D12" i="5" s="1"/>
  <c r="D9" i="4"/>
  <c r="D9" i="3"/>
  <c r="D9" i="2"/>
  <c r="I63" i="1"/>
  <c r="I34" i="1"/>
  <c r="I44" i="1"/>
  <c r="I41" i="1"/>
  <c r="D54" i="9"/>
  <c r="D57" i="8"/>
  <c r="D56" i="8"/>
  <c r="D56" i="6"/>
  <c r="D57" i="4"/>
  <c r="D59" i="2"/>
  <c r="D58" i="2"/>
  <c r="D30" i="9"/>
  <c r="D21" i="9"/>
  <c r="F103" i="1" s="1"/>
  <c r="D21" i="10"/>
  <c r="F104" i="1" s="1"/>
  <c r="D18" i="10"/>
  <c r="D10" i="10"/>
  <c r="D18" i="9"/>
  <c r="D10" i="9"/>
  <c r="D20" i="8"/>
  <c r="D16" i="8"/>
  <c r="D16" i="3"/>
  <c r="D20" i="6"/>
  <c r="D16" i="6"/>
  <c r="B15" i="14"/>
  <c r="B13" i="14"/>
  <c r="F15" i="14"/>
  <c r="I15" i="14"/>
  <c r="H15" i="14"/>
  <c r="G15" i="14"/>
  <c r="E15" i="14"/>
  <c r="D15" i="14"/>
  <c r="C15" i="14"/>
  <c r="I13" i="14"/>
  <c r="H13" i="14"/>
  <c r="G13" i="14"/>
  <c r="F13" i="14"/>
  <c r="E13" i="14"/>
  <c r="D13" i="14"/>
  <c r="C13" i="14"/>
  <c r="H11" i="14"/>
  <c r="G11" i="14"/>
  <c r="F11" i="14"/>
  <c r="E11" i="14"/>
  <c r="D11" i="14"/>
  <c r="C11" i="14"/>
  <c r="B11" i="14"/>
  <c r="J9" i="14"/>
  <c r="I9" i="14"/>
  <c r="I10" i="14" s="1"/>
  <c r="H9" i="14"/>
  <c r="H10" i="14" s="1"/>
  <c r="G9" i="14"/>
  <c r="G10" i="14" s="1"/>
  <c r="F9" i="14"/>
  <c r="F10" i="14" s="1"/>
  <c r="E9" i="14"/>
  <c r="E10" i="14" s="1"/>
  <c r="D9" i="14"/>
  <c r="D10" i="14" s="1"/>
  <c r="C9" i="14"/>
  <c r="C10" i="14" s="1"/>
  <c r="B9" i="14"/>
  <c r="B10" i="14" s="1"/>
  <c r="I8" i="14"/>
  <c r="H8" i="14"/>
  <c r="G8" i="14"/>
  <c r="F8" i="14"/>
  <c r="E8" i="14"/>
  <c r="D8" i="14"/>
  <c r="C8" i="14"/>
  <c r="B8" i="14"/>
  <c r="B14" i="13" l="1"/>
  <c r="D23" i="8"/>
  <c r="D23" i="6"/>
  <c r="D31" i="6" s="1"/>
  <c r="K15" i="14"/>
  <c r="D20" i="5"/>
  <c r="D16" i="5"/>
  <c r="D20" i="4"/>
  <c r="D16" i="4"/>
  <c r="D12" i="4"/>
  <c r="D20" i="3"/>
  <c r="D12" i="3"/>
  <c r="F102" i="1" l="1"/>
  <c r="D32" i="8"/>
  <c r="F101" i="1"/>
  <c r="D23" i="4"/>
  <c r="D33" i="4" s="1"/>
  <c r="D23" i="3"/>
  <c r="D23" i="5"/>
  <c r="D32" i="5" s="1"/>
  <c r="F100" i="1" l="1"/>
  <c r="F99" i="1"/>
  <c r="D32" i="3"/>
  <c r="F98" i="1"/>
  <c r="D20" i="2"/>
  <c r="D16" i="2"/>
  <c r="D12" i="2"/>
  <c r="I62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43" i="1"/>
  <c r="D37" i="1"/>
  <c r="I28" i="1"/>
  <c r="H28" i="1"/>
  <c r="I54" i="1"/>
  <c r="I53" i="1"/>
  <c r="I52" i="1"/>
  <c r="I46" i="1"/>
  <c r="I45" i="1"/>
  <c r="I42" i="1"/>
  <c r="I35" i="1"/>
  <c r="I33" i="1"/>
  <c r="I32" i="1"/>
  <c r="I31" i="1"/>
  <c r="I30" i="1"/>
  <c r="I29" i="1"/>
  <c r="I27" i="1"/>
  <c r="I26" i="1"/>
  <c r="I25" i="1"/>
  <c r="I24" i="1"/>
  <c r="I18" i="1"/>
  <c r="I17" i="1"/>
  <c r="I16" i="1"/>
  <c r="I15" i="1"/>
  <c r="I14" i="1"/>
  <c r="I13" i="1"/>
  <c r="I12" i="1"/>
  <c r="I11" i="1"/>
  <c r="I10" i="1"/>
  <c r="D20" i="1"/>
  <c r="K7" i="14"/>
  <c r="I84" i="1" l="1"/>
  <c r="D23" i="2"/>
  <c r="D32" i="2" s="1"/>
  <c r="I37" i="1"/>
  <c r="I66" i="1"/>
  <c r="I56" i="1"/>
  <c r="I48" i="1"/>
  <c r="I20" i="1"/>
  <c r="C14" i="13"/>
  <c r="F6" i="13"/>
  <c r="F7" i="13"/>
  <c r="F8" i="13"/>
  <c r="F9" i="13"/>
  <c r="F10" i="13"/>
  <c r="F11" i="13"/>
  <c r="F12" i="13"/>
  <c r="F5" i="13"/>
  <c r="F97" i="1" l="1"/>
  <c r="E14" i="13"/>
  <c r="K6" i="14" l="1"/>
  <c r="K8" i="14" s="1"/>
  <c r="H25" i="1"/>
  <c r="H26" i="1"/>
  <c r="H27" i="1"/>
  <c r="H29" i="1"/>
  <c r="H30" i="1"/>
  <c r="H31" i="1"/>
  <c r="H32" i="1"/>
  <c r="H33" i="1"/>
  <c r="H34" i="1"/>
  <c r="H35" i="1"/>
  <c r="H24" i="1"/>
  <c r="G45" i="1"/>
  <c r="C9" i="8"/>
  <c r="C9" i="6"/>
  <c r="C9" i="5"/>
  <c r="C9" i="4"/>
  <c r="C9" i="3"/>
  <c r="C9" i="2"/>
  <c r="H62" i="1"/>
  <c r="H82" i="1" l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E84" i="1"/>
  <c r="D84" i="1"/>
  <c r="I87" i="1" s="1"/>
  <c r="C84" i="1"/>
  <c r="H63" i="1"/>
  <c r="H66" i="1" s="1"/>
  <c r="E66" i="1"/>
  <c r="D66" i="1"/>
  <c r="C66" i="1"/>
  <c r="H54" i="1"/>
  <c r="H53" i="1"/>
  <c r="H52" i="1"/>
  <c r="E56" i="1"/>
  <c r="E48" i="1"/>
  <c r="H46" i="1"/>
  <c r="H45" i="1"/>
  <c r="H44" i="1"/>
  <c r="H43" i="1"/>
  <c r="H42" i="1"/>
  <c r="H41" i="1"/>
  <c r="H18" i="1"/>
  <c r="H17" i="1"/>
  <c r="H16" i="1"/>
  <c r="H15" i="1"/>
  <c r="H14" i="1"/>
  <c r="H13" i="1"/>
  <c r="H12" i="1"/>
  <c r="H11" i="1"/>
  <c r="H10" i="1"/>
  <c r="C20" i="2"/>
  <c r="C16" i="2"/>
  <c r="C12" i="2"/>
  <c r="C20" i="3"/>
  <c r="C16" i="3"/>
  <c r="C12" i="3"/>
  <c r="C20" i="4"/>
  <c r="C16" i="4"/>
  <c r="C12" i="4"/>
  <c r="C12" i="5"/>
  <c r="C20" i="5"/>
  <c r="C16" i="5"/>
  <c r="G104" i="1" l="1"/>
  <c r="G103" i="1"/>
  <c r="G102" i="1"/>
  <c r="G101" i="1"/>
  <c r="G100" i="1"/>
  <c r="G98" i="1"/>
  <c r="H56" i="1"/>
  <c r="E87" i="1"/>
  <c r="C23" i="5"/>
  <c r="C23" i="4"/>
  <c r="E99" i="1" s="1"/>
  <c r="C23" i="3"/>
  <c r="E98" i="1" s="1"/>
  <c r="C23" i="2"/>
  <c r="H84" i="1"/>
  <c r="H48" i="1"/>
  <c r="H37" i="1"/>
  <c r="E100" i="1" l="1"/>
  <c r="C25" i="5"/>
  <c r="E97" i="1"/>
  <c r="G99" i="1"/>
  <c r="G106" i="1" s="1"/>
  <c r="C56" i="1"/>
  <c r="C48" i="1"/>
  <c r="C37" i="1"/>
  <c r="C20" i="1"/>
  <c r="G70" i="1"/>
  <c r="G69" i="1"/>
  <c r="G54" i="1"/>
  <c r="G41" i="1"/>
  <c r="G18" i="1"/>
  <c r="G17" i="1"/>
  <c r="G16" i="1"/>
  <c r="G15" i="1"/>
  <c r="G14" i="1"/>
  <c r="G13" i="1"/>
  <c r="G12" i="1"/>
  <c r="G11" i="1"/>
  <c r="G10" i="1"/>
  <c r="G35" i="1"/>
  <c r="G34" i="1"/>
  <c r="G33" i="1"/>
  <c r="G32" i="1"/>
  <c r="G31" i="1"/>
  <c r="G30" i="1"/>
  <c r="G29" i="1"/>
  <c r="G27" i="1"/>
  <c r="G26" i="1"/>
  <c r="G25" i="1"/>
  <c r="G24" i="1"/>
  <c r="G37" i="1" s="1"/>
  <c r="G82" i="1"/>
  <c r="G62" i="1"/>
  <c r="G80" i="1"/>
  <c r="G81" i="1"/>
  <c r="G79" i="1"/>
  <c r="G78" i="1"/>
  <c r="G77" i="1"/>
  <c r="G76" i="1"/>
  <c r="G75" i="1"/>
  <c r="G74" i="1"/>
  <c r="G73" i="1"/>
  <c r="G72" i="1"/>
  <c r="G71" i="1"/>
  <c r="G46" i="1"/>
  <c r="G44" i="1"/>
  <c r="G43" i="1"/>
  <c r="G42" i="1"/>
  <c r="G53" i="1"/>
  <c r="G84" i="1" l="1"/>
  <c r="C87" i="1"/>
  <c r="C92" i="1" s="1"/>
  <c r="C93" i="1" s="1"/>
  <c r="C18" i="10"/>
  <c r="C21" i="10" s="1"/>
  <c r="E104" i="1" s="1"/>
  <c r="C18" i="9"/>
  <c r="C21" i="9" s="1"/>
  <c r="E103" i="1" s="1"/>
  <c r="C20" i="8"/>
  <c r="C16" i="8"/>
  <c r="C12" i="8"/>
  <c r="C20" i="6"/>
  <c r="C16" i="6"/>
  <c r="C12" i="6"/>
  <c r="G48" i="1"/>
  <c r="D48" i="1"/>
  <c r="G20" i="1"/>
  <c r="M20" i="1" s="1"/>
  <c r="H20" i="1"/>
  <c r="H87" i="1" s="1"/>
  <c r="N20" i="1"/>
  <c r="G63" i="1"/>
  <c r="G66" i="1" s="1"/>
  <c r="F20" i="1"/>
  <c r="F37" i="1"/>
  <c r="F48" i="1"/>
  <c r="F56" i="1"/>
  <c r="G52" i="1"/>
  <c r="G56" i="1" s="1"/>
  <c r="D56" i="1"/>
  <c r="D87" i="1" l="1"/>
  <c r="D101" i="1" s="1"/>
  <c r="F66" i="1"/>
  <c r="F87" i="1" s="1"/>
  <c r="G87" i="1"/>
  <c r="C103" i="1"/>
  <c r="C97" i="1"/>
  <c r="C104" i="1"/>
  <c r="C102" i="1"/>
  <c r="C101" i="1"/>
  <c r="C100" i="1"/>
  <c r="C99" i="1"/>
  <c r="C24" i="4" s="1"/>
  <c r="C98" i="1"/>
  <c r="C23" i="8"/>
  <c r="E102" i="1" s="1"/>
  <c r="C23" i="6"/>
  <c r="E101" i="1" s="1"/>
  <c r="J37" i="1"/>
  <c r="J84" i="1"/>
  <c r="J56" i="1"/>
  <c r="J48" i="1"/>
  <c r="D92" i="1" l="1"/>
  <c r="D93" i="1" s="1"/>
  <c r="D99" i="1"/>
  <c r="D98" i="1"/>
  <c r="D97" i="1"/>
  <c r="I97" i="1" s="1"/>
  <c r="D104" i="1"/>
  <c r="I104" i="1" s="1"/>
  <c r="B29" i="13" s="1"/>
  <c r="C29" i="13" s="1"/>
  <c r="D29" i="13" s="1"/>
  <c r="D103" i="1"/>
  <c r="D100" i="1"/>
  <c r="I100" i="1" s="1"/>
  <c r="B25" i="13" s="1"/>
  <c r="C25" i="13" s="1"/>
  <c r="D25" i="13" s="1"/>
  <c r="D102" i="1"/>
  <c r="E106" i="1"/>
  <c r="C22" i="9"/>
  <c r="H103" i="1"/>
  <c r="H100" i="1"/>
  <c r="C24" i="6"/>
  <c r="H101" i="1"/>
  <c r="C24" i="3"/>
  <c r="H98" i="1"/>
  <c r="C24" i="8"/>
  <c r="H102" i="1"/>
  <c r="C22" i="10"/>
  <c r="H104" i="1"/>
  <c r="C25" i="4"/>
  <c r="H99" i="1"/>
  <c r="H97" i="1"/>
  <c r="C106" i="1"/>
  <c r="J66" i="1"/>
  <c r="J87" i="1"/>
  <c r="B22" i="13" l="1"/>
  <c r="C22" i="13" s="1"/>
  <c r="G29" i="13"/>
  <c r="H29" i="13"/>
  <c r="I99" i="1"/>
  <c r="B24" i="13" s="1"/>
  <c r="C24" i="13" s="1"/>
  <c r="D24" i="13" s="1"/>
  <c r="D34" i="4"/>
  <c r="D35" i="4" s="1"/>
  <c r="G25" i="13"/>
  <c r="H25" i="13"/>
  <c r="I102" i="1"/>
  <c r="B27" i="13" s="1"/>
  <c r="C27" i="13" s="1"/>
  <c r="D27" i="13" s="1"/>
  <c r="D24" i="8"/>
  <c r="D33" i="8" s="1"/>
  <c r="D34" i="8" s="1"/>
  <c r="I101" i="1"/>
  <c r="B26" i="13" s="1"/>
  <c r="C26" i="13" s="1"/>
  <c r="D26" i="13" s="1"/>
  <c r="D24" i="6"/>
  <c r="D32" i="6" s="1"/>
  <c r="D33" i="6" s="1"/>
  <c r="I103" i="1"/>
  <c r="B28" i="13" s="1"/>
  <c r="C28" i="13" s="1"/>
  <c r="D28" i="13" s="1"/>
  <c r="D22" i="9"/>
  <c r="D31" i="9" s="1"/>
  <c r="D32" i="9" s="1"/>
  <c r="D22" i="10"/>
  <c r="D24" i="3"/>
  <c r="D25" i="3" s="1"/>
  <c r="I98" i="1"/>
  <c r="B23" i="13" s="1"/>
  <c r="C23" i="13" s="1"/>
  <c r="D23" i="13" s="1"/>
  <c r="D24" i="5"/>
  <c r="D33" i="5" s="1"/>
  <c r="D34" i="5" s="1"/>
  <c r="F106" i="1"/>
  <c r="D24" i="2"/>
  <c r="D106" i="1"/>
  <c r="D24" i="4"/>
  <c r="C25" i="3"/>
  <c r="C25" i="2"/>
  <c r="C23" i="9"/>
  <c r="C23" i="10"/>
  <c r="C25" i="6"/>
  <c r="C25" i="8"/>
  <c r="D22" i="13" l="1"/>
  <c r="I29" i="13"/>
  <c r="B31" i="13"/>
  <c r="G28" i="13"/>
  <c r="H28" i="13"/>
  <c r="G26" i="13"/>
  <c r="H26" i="13"/>
  <c r="G24" i="13"/>
  <c r="H24" i="13"/>
  <c r="G27" i="13"/>
  <c r="H27" i="13"/>
  <c r="I25" i="13"/>
  <c r="H23" i="13"/>
  <c r="G23" i="13"/>
  <c r="I23" i="13" s="1"/>
  <c r="I106" i="1"/>
  <c r="D33" i="3"/>
  <c r="D34" i="3" s="1"/>
  <c r="D38" i="3" s="1"/>
  <c r="D25" i="8"/>
  <c r="D23" i="10"/>
  <c r="D23" i="9"/>
  <c r="D25" i="6"/>
  <c r="D34" i="2"/>
  <c r="D38" i="2" s="1"/>
  <c r="D33" i="2"/>
  <c r="D25" i="4"/>
  <c r="D25" i="2"/>
  <c r="D25" i="5"/>
  <c r="I27" i="13" l="1"/>
  <c r="H22" i="13"/>
  <c r="G22" i="13"/>
  <c r="I22" i="13" s="1"/>
  <c r="I26" i="13"/>
  <c r="I24" i="13"/>
  <c r="I28" i="13"/>
  <c r="I31" i="13" l="1"/>
  <c r="F14" i="13" l="1"/>
</calcChain>
</file>

<file path=xl/sharedStrings.xml><?xml version="1.0" encoding="utf-8"?>
<sst xmlns="http://schemas.openxmlformats.org/spreadsheetml/2006/main" count="502" uniqueCount="190">
  <si>
    <t>EXCELSIOR BEACH TO BAY CONDO. ASSOC. INC.</t>
  </si>
  <si>
    <t xml:space="preserve">              COMMON</t>
  </si>
  <si>
    <t xml:space="preserve">         BUILDINGS</t>
  </si>
  <si>
    <t xml:space="preserve"> CONSOLIDATED</t>
  </si>
  <si>
    <t xml:space="preserve">   MONTHLY</t>
  </si>
  <si>
    <t xml:space="preserve">      2018</t>
  </si>
  <si>
    <t xml:space="preserve">PAYROLL EXPENSES  </t>
  </si>
  <si>
    <t>-</t>
  </si>
  <si>
    <t>SALARIES MANAGER</t>
  </si>
  <si>
    <t xml:space="preserve">SALARIES MAINTENANCE </t>
  </si>
  <si>
    <t>SALARIES OFFICE</t>
  </si>
  <si>
    <t>EMPLOYEE HEALTH INSUR.</t>
  </si>
  <si>
    <t>F.I.C.A. &amp; MEDICARE</t>
  </si>
  <si>
    <t>UNEMPLOYMENT TAX</t>
  </si>
  <si>
    <t>WORKMANS COMP.</t>
  </si>
  <si>
    <t>ESTIMATED OVERTIME</t>
  </si>
  <si>
    <r>
      <t xml:space="preserve">  </t>
    </r>
    <r>
      <rPr>
        <b/>
        <sz val="10"/>
        <rFont val="Arial"/>
        <family val="2"/>
      </rPr>
      <t xml:space="preserve">  TOTAL PAYROLL EXPENSES</t>
    </r>
  </si>
  <si>
    <t>GROUNDS MAINTENANCE</t>
  </si>
  <si>
    <t xml:space="preserve">LAWN SERVICE CONTRACT </t>
  </si>
  <si>
    <t>FERTIZILE AND PEST CONTROL</t>
  </si>
  <si>
    <t>TREE TRIMMING -MANGROVES</t>
  </si>
  <si>
    <t>IRRIGATION</t>
  </si>
  <si>
    <t>GROUNDS REPAIRS</t>
  </si>
  <si>
    <t>GROUNDS CONTIGENCIES</t>
  </si>
  <si>
    <r>
      <rPr>
        <b/>
        <sz val="10"/>
        <rFont val="Arial"/>
        <family val="2"/>
      </rPr>
      <t>TOTAL GROUNDS MAINTENANC</t>
    </r>
    <r>
      <rPr>
        <sz val="10"/>
        <rFont val="Arial"/>
        <family val="2"/>
      </rPr>
      <t>E</t>
    </r>
  </si>
  <si>
    <t>BUILDING MAINTENANCE</t>
  </si>
  <si>
    <t>FIRE ALARM EXPENSE</t>
  </si>
  <si>
    <t xml:space="preserve">ELEVATOR </t>
  </si>
  <si>
    <t xml:space="preserve">BLDG. REPAIRS </t>
  </si>
  <si>
    <t>BUILDING CONTINGENCIES</t>
  </si>
  <si>
    <t>TOTAL BUILDING MAINTENANCE</t>
  </si>
  <si>
    <t>UTILITIES</t>
  </si>
  <si>
    <t xml:space="preserve">ELECTRICITY   </t>
  </si>
  <si>
    <t>CABLE T.V.  &amp; INTERNET</t>
  </si>
  <si>
    <t>contract increase</t>
  </si>
  <si>
    <t>TOTAL UTILITIES</t>
  </si>
  <si>
    <t>::</t>
  </si>
  <si>
    <t xml:space="preserve">   2018</t>
  </si>
  <si>
    <t xml:space="preserve">INSURANCE     </t>
  </si>
  <si>
    <t>based on Mike Clarkson</t>
  </si>
  <si>
    <t xml:space="preserve">FLOOD        </t>
  </si>
  <si>
    <t xml:space="preserve"> @ 8 % over current policies</t>
  </si>
  <si>
    <t>GENERAL LIAB/WINDSTORM</t>
  </si>
  <si>
    <t xml:space="preserve"> @ 5 % over current policies</t>
  </si>
  <si>
    <t>TOTAL INSURANCE</t>
  </si>
  <si>
    <t>GENERAL &amp; ADMINISTRATIVE</t>
  </si>
  <si>
    <t>BANK SERVICE CHARGE</t>
  </si>
  <si>
    <t xml:space="preserve">FEES &amp; PERMITS </t>
  </si>
  <si>
    <t>LEGAL FEEES</t>
  </si>
  <si>
    <t>CREDIT CARD FEES</t>
  </si>
  <si>
    <t>OFFICE SUPPLIES/COPY MACHINE</t>
  </si>
  <si>
    <t>POSTAGE &amp; PRINTING</t>
  </si>
  <si>
    <t xml:space="preserve">ADMIN. CONTINGENCY    </t>
  </si>
  <si>
    <t xml:space="preserve">AUDIT/TAX RETURN/OUTSIDE CPA </t>
  </si>
  <si>
    <t xml:space="preserve">TELEPHONE      </t>
  </si>
  <si>
    <t xml:space="preserve">EXERCISE EQUIP. MTCE  </t>
  </si>
  <si>
    <t>TOTAL GENERAL &amp; ADMINISTRATIVE</t>
  </si>
  <si>
    <t xml:space="preserve">   ANNUAL PER UNIT    </t>
  </si>
  <si>
    <t xml:space="preserve">               COMMON   PORTION</t>
  </si>
  <si>
    <t xml:space="preserve">               QUARTERLY AMOUNT</t>
  </si>
  <si>
    <t xml:space="preserve">  BLDG 1</t>
  </si>
  <si>
    <t xml:space="preserve">  BLDG 2</t>
  </si>
  <si>
    <t xml:space="preserve">  BLDG 3</t>
  </si>
  <si>
    <t xml:space="preserve">  BLDG 4</t>
  </si>
  <si>
    <t xml:space="preserve">  BLDG 5</t>
  </si>
  <si>
    <t xml:space="preserve">  BLDG  GULF</t>
  </si>
  <si>
    <t xml:space="preserve">  N.V.</t>
  </si>
  <si>
    <t xml:space="preserve"> S.V.</t>
  </si>
  <si>
    <t>ACCOUNTING FEES</t>
  </si>
  <si>
    <t>_______________________________________________________________________________________________________________________________________</t>
  </si>
  <si>
    <t>TOTAL ASSOCIATION EXPENSES</t>
  </si>
  <si>
    <t>REALTY WAGE REIMBURSEMENT</t>
  </si>
  <si>
    <t>REALTY G&amp;A REIMBURSEMENT</t>
  </si>
  <si>
    <t>EXCELSIOR BEACH TO BAY CONDO. ASSOC.</t>
  </si>
  <si>
    <t>BUILDING # 1   20 UNITS</t>
  </si>
  <si>
    <t>BUDGET</t>
  </si>
  <si>
    <t>FIRE ALARM</t>
  </si>
  <si>
    <t>ELEVATOR MAINTENANCE</t>
  </si>
  <si>
    <t>BUILDING REPAIRS &amp; PAINT</t>
  </si>
  <si>
    <t xml:space="preserve">    TOTAL</t>
  </si>
  <si>
    <t>ELECTRIC</t>
  </si>
  <si>
    <t>WATER &amp; SEWER</t>
  </si>
  <si>
    <t>FLOOD</t>
  </si>
  <si>
    <t>WINDSTORM</t>
  </si>
  <si>
    <t>Total Direct Building Expenses</t>
  </si>
  <si>
    <t>Portion of Common Expenses</t>
  </si>
  <si>
    <t>Grand Total Expenses</t>
  </si>
  <si>
    <t>__________________________________________________________________</t>
  </si>
  <si>
    <t>QUARTERLY</t>
  </si>
  <si>
    <t>BUILDING # 3   22 UNITS</t>
  </si>
  <si>
    <t>BUILDING # 4   32 UNITS</t>
  </si>
  <si>
    <t>BUILDING # 5  32 UNITS</t>
  </si>
  <si>
    <t>BUILDING # Gulf   30 UNITS</t>
  </si>
  <si>
    <t>BUILDING #2   22 UNITS</t>
  </si>
  <si>
    <t>BUILDING #North Villas   4 UNITS</t>
  </si>
  <si>
    <t>BUILDING # South Villas   4 UNITS</t>
  </si>
  <si>
    <t>APPROVED</t>
  </si>
  <si>
    <t>Budget Direct</t>
  </si>
  <si>
    <t>COMBINED TOTALS  2023/ 2024</t>
  </si>
  <si>
    <t xml:space="preserve">                  2024  BUDGET</t>
  </si>
  <si>
    <t>PROPOSED</t>
  </si>
  <si>
    <t xml:space="preserve">                  2024 BUDGET</t>
  </si>
  <si>
    <t xml:space="preserve">                  2024   BUDGET</t>
  </si>
  <si>
    <t>Proposed 2024 Budget Common</t>
  </si>
  <si>
    <t>Proposed 2024 Budget Total</t>
  </si>
  <si>
    <t>Proposed 2024 Budget Direct</t>
  </si>
  <si>
    <t>Reserve Funding</t>
  </si>
  <si>
    <t>Building 2</t>
  </si>
  <si>
    <t>Building 3</t>
  </si>
  <si>
    <t>Building 4</t>
  </si>
  <si>
    <t>Building 5</t>
  </si>
  <si>
    <t>Gulf</t>
  </si>
  <si>
    <t>NV</t>
  </si>
  <si>
    <t>SV</t>
  </si>
  <si>
    <t>Annual Assessments</t>
  </si>
  <si>
    <t>Building1</t>
  </si>
  <si>
    <t>Total</t>
  </si>
  <si>
    <t>Building 1</t>
  </si>
  <si>
    <t>Common</t>
  </si>
  <si>
    <t>2 payment</t>
  </si>
  <si>
    <t>3rd &amp; 4th Quarter</t>
  </si>
  <si>
    <t xml:space="preserve">                                                      Attached Insurance Supplement Consolidated in Operating Budget</t>
  </si>
  <si>
    <t xml:space="preserve">Insurance Supplemental-Buildings </t>
  </si>
  <si>
    <t>Budget*        1618729</t>
  </si>
  <si>
    <t>Reserve</t>
  </si>
  <si>
    <t xml:space="preserve">Common </t>
  </si>
  <si>
    <t>Operating</t>
  </si>
  <si>
    <t>Annual</t>
  </si>
  <si>
    <t>Insurance</t>
  </si>
  <si>
    <t>Budget</t>
  </si>
  <si>
    <t>Premium-Flood</t>
  </si>
  <si>
    <t>Premium-Prop &amp; GL</t>
  </si>
  <si>
    <t xml:space="preserve">2025 Annual Operating Budget </t>
  </si>
  <si>
    <t>Supplemental Insurance Budget -2025 Proposed:</t>
  </si>
  <si>
    <t>MULCH</t>
  </si>
  <si>
    <t xml:space="preserve">SECURITY-WEBSITE </t>
  </si>
  <si>
    <t>POOL MAINTENANCE*</t>
  </si>
  <si>
    <t>POOL HEAT*</t>
  </si>
  <si>
    <t>BEACH MAINTENANCE*</t>
  </si>
  <si>
    <t>GROUNDS EQUIPMENT*</t>
  </si>
  <si>
    <t xml:space="preserve">MAINTENANCE SUPPLIES* </t>
  </si>
  <si>
    <t>CONTRACT  PEST CONTROL*</t>
  </si>
  <si>
    <t>WATER &amp; SEWER *</t>
  </si>
  <si>
    <t>* Net of Realty share of espenses</t>
  </si>
  <si>
    <t>Proposed 2025 Budget Building</t>
  </si>
  <si>
    <t>Proposed 2025 Budget Common</t>
  </si>
  <si>
    <t>Proposed 2025 Budget Total</t>
  </si>
  <si>
    <t>Proposed 2025 Reserve Funding</t>
  </si>
  <si>
    <t>Proposed 2025 Budget Direct</t>
  </si>
  <si>
    <t xml:space="preserve">                  </t>
  </si>
  <si>
    <t>FLOWERS/PLANTS</t>
  </si>
  <si>
    <t>Per unit</t>
  </si>
  <si>
    <t>ANNUAL</t>
  </si>
  <si>
    <t>2025 PER UNIT COSTS</t>
  </si>
  <si>
    <t>$425 unit</t>
  </si>
  <si>
    <t>Total Billings</t>
  </si>
  <si>
    <t>Invoicing is broken down as follows:</t>
  </si>
  <si>
    <t>1st &amp; 2nd Quarter</t>
  </si>
  <si>
    <t xml:space="preserve">Total Billings </t>
  </si>
  <si>
    <t>2024 Annual Per  unit</t>
  </si>
  <si>
    <t>$325 per unit</t>
  </si>
  <si>
    <t>Formula for Billing</t>
  </si>
  <si>
    <t>Consolidated</t>
  </si>
  <si>
    <t>Net after Ins</t>
  </si>
  <si>
    <t>PerQuarter</t>
  </si>
  <si>
    <t>1st &amp; 2nd Qtr</t>
  </si>
  <si>
    <t>3rd &amp; 4th Qtr</t>
  </si>
  <si>
    <t>Per Unit</t>
  </si>
  <si>
    <t>Per bldg</t>
  </si>
  <si>
    <t>2024 Annual Per unit</t>
  </si>
  <si>
    <t>Increase over 2024</t>
  </si>
  <si>
    <t>2024 Annual Per Unit</t>
  </si>
  <si>
    <t>Special Assessment</t>
  </si>
  <si>
    <t>Total 2024</t>
  </si>
  <si>
    <t>UNIFORMS</t>
  </si>
  <si>
    <t>$13978 per unit</t>
  </si>
  <si>
    <t>$13,825 per unit x22</t>
  </si>
  <si>
    <t>$13,825 per unit</t>
  </si>
  <si>
    <t>$13,542 per unit x32</t>
  </si>
  <si>
    <t>Note:Difference is due to rounding rule</t>
  </si>
  <si>
    <t>Note:Difference is due to Rounding rule</t>
  </si>
  <si>
    <t>Note:  Difference is due to Rounding Rule</t>
  </si>
  <si>
    <t>Note:  Difference is Due to Rounding rule</t>
  </si>
  <si>
    <t>Note: Differences due to Rounding Rule</t>
  </si>
  <si>
    <t>$12880 per unit x30</t>
  </si>
  <si>
    <t>$13046 per unit x4</t>
  </si>
  <si>
    <t>Difference in total billings by building- $31</t>
  </si>
  <si>
    <t>2024 Special Assessment</t>
  </si>
  <si>
    <t>Approved</t>
  </si>
  <si>
    <t>2025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</si>
</sst>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0"/>
    <numFmt numFmtId="165" formatCode="&quot;$&quot;#,##0"/>
  </numFmts>
  <fonts count="24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 val="double"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 val="double"/>
      <sz val="14"/>
      <name val="Arial"/>
      <family val="2"/>
    </font>
    <font>
      <b/>
      <u/>
      <sz val="14"/>
      <color theme="1"/>
      <name val="Arial"/>
      <family val="2"/>
    </font>
    <font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 applyAlignment="1">
      <alignment horizontal="fill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fill"/>
    </xf>
    <xf numFmtId="1" fontId="2" fillId="0" borderId="0" xfId="0" applyNumberFormat="1" applyFont="1"/>
    <xf numFmtId="0" fontId="5" fillId="0" borderId="0" xfId="0" applyFont="1"/>
    <xf numFmtId="3" fontId="3" fillId="0" borderId="0" xfId="0" applyNumberFormat="1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/>
    <xf numFmtId="0" fontId="2" fillId="0" borderId="0" xfId="0" applyFont="1" applyAlignment="1">
      <alignment horizontal="center"/>
    </xf>
    <xf numFmtId="1" fontId="3" fillId="0" borderId="0" xfId="0" applyNumberFormat="1" applyFont="1"/>
    <xf numFmtId="3" fontId="1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1" fillId="0" borderId="2" xfId="0" applyNumberFormat="1" applyFont="1" applyBorder="1"/>
    <xf numFmtId="0" fontId="8" fillId="0" borderId="0" xfId="0" applyFont="1" applyAlignment="1">
      <alignment horizontal="center"/>
    </xf>
    <xf numFmtId="0" fontId="10" fillId="0" borderId="0" xfId="0" applyFont="1"/>
    <xf numFmtId="3" fontId="8" fillId="0" borderId="3" xfId="0" applyNumberFormat="1" applyFont="1" applyBorder="1"/>
    <xf numFmtId="3" fontId="8" fillId="0" borderId="0" xfId="0" applyNumberFormat="1" applyFont="1"/>
    <xf numFmtId="3" fontId="10" fillId="0" borderId="0" xfId="0" applyNumberFormat="1" applyFont="1"/>
    <xf numFmtId="0" fontId="11" fillId="0" borderId="0" xfId="0" applyFont="1"/>
    <xf numFmtId="3" fontId="8" fillId="0" borderId="2" xfId="0" applyNumberFormat="1" applyFont="1" applyBorder="1"/>
    <xf numFmtId="3" fontId="8" fillId="0" borderId="4" xfId="0" applyNumberFormat="1" applyFont="1" applyBorder="1"/>
    <xf numFmtId="4" fontId="1" fillId="0" borderId="0" xfId="0" applyNumberFormat="1" applyFont="1" applyAlignment="1">
      <alignment horizontal="fill"/>
    </xf>
    <xf numFmtId="164" fontId="1" fillId="0" borderId="0" xfId="0" applyNumberFormat="1" applyFont="1"/>
    <xf numFmtId="0" fontId="12" fillId="0" borderId="0" xfId="0" applyFont="1"/>
    <xf numFmtId="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9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2" fontId="1" fillId="0" borderId="0" xfId="0" applyNumberFormat="1" applyFont="1"/>
    <xf numFmtId="0" fontId="13" fillId="0" borderId="0" xfId="0" applyFont="1"/>
    <xf numFmtId="0" fontId="9" fillId="0" borderId="2" xfId="0" applyFont="1" applyBorder="1"/>
    <xf numFmtId="0" fontId="1" fillId="0" borderId="2" xfId="0" applyFont="1" applyBorder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65" fontId="9" fillId="0" borderId="0" xfId="0" applyNumberFormat="1" applyFont="1"/>
    <xf numFmtId="0" fontId="17" fillId="0" borderId="0" xfId="0" applyFont="1"/>
    <xf numFmtId="0" fontId="14" fillId="0" borderId="0" xfId="0" applyFont="1"/>
    <xf numFmtId="3" fontId="15" fillId="0" borderId="0" xfId="0" applyNumberFormat="1" applyFont="1"/>
    <xf numFmtId="0" fontId="3" fillId="0" borderId="0" xfId="0" applyFont="1" applyAlignment="1">
      <alignment horizontal="fill"/>
    </xf>
    <xf numFmtId="3" fontId="14" fillId="0" borderId="0" xfId="0" applyNumberFormat="1" applyFont="1"/>
    <xf numFmtId="3" fontId="14" fillId="0" borderId="2" xfId="0" applyNumberFormat="1" applyFont="1" applyBorder="1"/>
    <xf numFmtId="3" fontId="18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6" fillId="0" borderId="0" xfId="0" applyNumberFormat="1" applyFont="1"/>
    <xf numFmtId="3" fontId="0" fillId="0" borderId="0" xfId="0" applyNumberFormat="1"/>
    <xf numFmtId="1" fontId="1" fillId="0" borderId="0" xfId="0" applyNumberFormat="1" applyFont="1"/>
    <xf numFmtId="3" fontId="9" fillId="0" borderId="2" xfId="0" applyNumberFormat="1" applyFont="1" applyBorder="1"/>
    <xf numFmtId="3" fontId="9" fillId="0" borderId="0" xfId="0" applyNumberFormat="1" applyFont="1" applyAlignment="1">
      <alignment horizontal="fill"/>
    </xf>
    <xf numFmtId="165" fontId="9" fillId="0" borderId="0" xfId="0" applyNumberFormat="1" applyFont="1" applyAlignment="1">
      <alignment horizontal="right"/>
    </xf>
    <xf numFmtId="2" fontId="9" fillId="0" borderId="0" xfId="0" applyNumberFormat="1" applyFont="1"/>
    <xf numFmtId="3" fontId="10" fillId="0" borderId="3" xfId="0" applyNumberFormat="1" applyFont="1" applyBorder="1"/>
    <xf numFmtId="3" fontId="10" fillId="0" borderId="2" xfId="0" applyNumberFormat="1" applyFont="1" applyBorder="1"/>
    <xf numFmtId="3" fontId="10" fillId="0" borderId="4" xfId="0" applyNumberFormat="1" applyFont="1" applyBorder="1"/>
    <xf numFmtId="3" fontId="9" fillId="0" borderId="2" xfId="0" applyNumberFormat="1" applyFont="1" applyBorder="1" applyAlignment="1">
      <alignment horizontal="right"/>
    </xf>
    <xf numFmtId="37" fontId="1" fillId="0" borderId="0" xfId="0" applyNumberFormat="1" applyFont="1"/>
    <xf numFmtId="0" fontId="9" fillId="0" borderId="0" xfId="0" applyFont="1" applyAlignment="1">
      <alignment horizontal="right"/>
    </xf>
    <xf numFmtId="37" fontId="10" fillId="0" borderId="0" xfId="0" applyNumberFormat="1" applyFont="1"/>
    <xf numFmtId="3" fontId="1" fillId="0" borderId="3" xfId="0" applyNumberFormat="1" applyFon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3" fontId="2" fillId="0" borderId="0" xfId="0" quotePrefix="1" applyNumberFormat="1" applyFont="1"/>
    <xf numFmtId="3" fontId="1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6" fontId="9" fillId="0" borderId="0" xfId="0" applyNumberFormat="1" applyFont="1"/>
    <xf numFmtId="165" fontId="8" fillId="0" borderId="0" xfId="0" applyNumberFormat="1" applyFont="1"/>
    <xf numFmtId="3" fontId="20" fillId="0" borderId="0" xfId="0" applyNumberFormat="1" applyFont="1"/>
    <xf numFmtId="3" fontId="19" fillId="0" borderId="0" xfId="0" applyNumberFormat="1" applyFont="1"/>
    <xf numFmtId="3" fontId="21" fillId="0" borderId="0" xfId="0" applyNumberFormat="1" applyFont="1"/>
    <xf numFmtId="3" fontId="22" fillId="0" borderId="0" xfId="0" applyNumberFormat="1" applyFont="1" applyAlignment="1">
      <alignment horizontal="right"/>
    </xf>
    <xf numFmtId="165" fontId="19" fillId="0" borderId="0" xfId="0" applyNumberFormat="1" applyFont="1"/>
    <xf numFmtId="3" fontId="17" fillId="0" borderId="0" xfId="0" applyNumberFormat="1" applyFont="1"/>
    <xf numFmtId="3" fontId="9" fillId="0" borderId="4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165" fontId="9" fillId="0" borderId="4" xfId="0" applyNumberFormat="1" applyFont="1" applyBorder="1" applyAlignment="1">
      <alignment horizontal="right"/>
    </xf>
    <xf numFmtId="165" fontId="9" fillId="0" borderId="2" xfId="0" applyNumberFormat="1" applyFont="1" applyBorder="1"/>
    <xf numFmtId="165" fontId="9" fillId="0" borderId="4" xfId="0" applyNumberFormat="1" applyFont="1" applyBorder="1"/>
    <xf numFmtId="3" fontId="8" fillId="0" borderId="3" xfId="0" applyNumberFormat="1" applyFont="1" applyBorder="1" applyAlignment="1">
      <alignment horizontal="right"/>
    </xf>
    <xf numFmtId="165" fontId="9" fillId="0" borderId="3" xfId="0" applyNumberFormat="1" applyFont="1" applyBorder="1"/>
    <xf numFmtId="3" fontId="23" fillId="0" borderId="0" xfId="0" applyNumberFormat="1" applyFont="1"/>
    <xf numFmtId="3" fontId="9" fillId="0" borderId="3" xfId="0" applyNumberFormat="1" applyFont="1" applyBorder="1" applyAlignment="1">
      <alignment horizontal="right"/>
    </xf>
    <xf numFmtId="3" fontId="9" fillId="0" borderId="4" xfId="0" applyNumberFormat="1" applyFont="1" applyBorder="1"/>
    <xf numFmtId="165" fontId="20" fillId="0" borderId="0" xfId="0" applyNumberFormat="1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2"/>
  <sheetViews>
    <sheetView zoomScale="91" zoomScaleNormal="91" workbookViewId="0">
      <pane ySplit="8" topLeftCell="A9" activePane="bottomLeft" state="frozen"/>
      <selection pane="bottomLeft" activeCell="Z111" sqref="Z111"/>
    </sheetView>
  </sheetViews>
  <sheetFormatPr defaultColWidth="9.6328125" defaultRowHeight="15.6" x14ac:dyDescent="0.3"/>
  <cols>
    <col min="1" max="1" width="2.6328125" style="1" customWidth="1"/>
    <col min="2" max="2" width="27.6328125" style="1" customWidth="1"/>
    <col min="3" max="3" width="9.1796875" style="1" customWidth="1"/>
    <col min="4" max="4" width="7.453125" style="1" customWidth="1"/>
    <col min="5" max="5" width="6.453125" style="1" customWidth="1"/>
    <col min="6" max="6" width="7.453125" style="1" customWidth="1"/>
    <col min="7" max="7" width="0.26953125" style="1" hidden="1" customWidth="1"/>
    <col min="8" max="8" width="7.7265625" style="1" customWidth="1"/>
    <col min="9" max="9" width="7.54296875" style="23" customWidth="1"/>
    <col min="10" max="10" width="2.6328125" style="1" hidden="1" customWidth="1"/>
    <col min="11" max="24" width="0" style="1" hidden="1" customWidth="1"/>
    <col min="25" max="25" width="8.984375E-2" style="1" customWidth="1"/>
    <col min="26" max="26" width="19.1796875" style="1" customWidth="1"/>
    <col min="27" max="27" width="10.90625" style="1" customWidth="1"/>
    <col min="28" max="16384" width="9.6328125" style="1"/>
  </cols>
  <sheetData>
    <row r="1" spans="1:28" ht="15" x14ac:dyDescent="0.25">
      <c r="B1" s="4"/>
      <c r="C1" s="4" t="s">
        <v>0</v>
      </c>
      <c r="D1" s="4"/>
      <c r="E1" s="4"/>
      <c r="F1" s="4"/>
      <c r="G1" s="4"/>
      <c r="H1" s="4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" x14ac:dyDescent="0.25">
      <c r="B2" s="4"/>
      <c r="C2" s="4"/>
      <c r="D2" s="11"/>
      <c r="E2" s="4"/>
      <c r="F2" s="4"/>
      <c r="G2" s="4"/>
      <c r="H2" s="4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" x14ac:dyDescent="0.25">
      <c r="A3" s="4"/>
      <c r="B3" s="4"/>
      <c r="C3" s="62" t="s">
        <v>188</v>
      </c>
      <c r="D3" s="11" t="s">
        <v>132</v>
      </c>
      <c r="E3" s="4"/>
      <c r="F3" s="4"/>
      <c r="G3" s="4"/>
      <c r="H3" s="4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" x14ac:dyDescent="0.25">
      <c r="B4" s="61" t="s">
        <v>121</v>
      </c>
      <c r="C4" s="12"/>
      <c r="D4" s="4"/>
      <c r="E4" s="4"/>
      <c r="F4" s="4"/>
      <c r="G4" s="4"/>
      <c r="H4" s="4"/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5" x14ac:dyDescent="0.25">
      <c r="B5" s="4"/>
      <c r="C5" s="4"/>
      <c r="D5" s="4"/>
      <c r="E5" s="4"/>
      <c r="F5" s="4"/>
      <c r="G5" s="4"/>
      <c r="H5" s="4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" x14ac:dyDescent="0.25">
      <c r="B6" s="4"/>
      <c r="C6" s="4"/>
      <c r="D6" s="4"/>
      <c r="E6" s="4"/>
      <c r="F6" s="4"/>
      <c r="G6" s="4"/>
      <c r="H6" s="4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" x14ac:dyDescent="0.25">
      <c r="B7" s="4"/>
      <c r="C7" s="4" t="s">
        <v>1</v>
      </c>
      <c r="D7" s="4"/>
      <c r="E7" s="4" t="s">
        <v>2</v>
      </c>
      <c r="F7" s="4"/>
      <c r="G7" s="4"/>
      <c r="H7" s="4" t="s">
        <v>3</v>
      </c>
      <c r="I7" s="11"/>
      <c r="J7" s="4"/>
      <c r="K7" s="4" t="s">
        <v>4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" x14ac:dyDescent="0.25">
      <c r="B8" s="4"/>
      <c r="C8" s="4">
        <v>2024</v>
      </c>
      <c r="D8" s="11">
        <v>2025</v>
      </c>
      <c r="E8" s="4">
        <v>2024</v>
      </c>
      <c r="F8" s="11">
        <v>2025</v>
      </c>
      <c r="G8" s="4">
        <v>2023</v>
      </c>
      <c r="H8" s="4">
        <v>2024</v>
      </c>
      <c r="I8" s="11">
        <v>2025</v>
      </c>
      <c r="J8" s="4" t="s">
        <v>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8" ht="15" x14ac:dyDescent="0.25">
      <c r="A9" s="1" t="s">
        <v>6</v>
      </c>
      <c r="B9" s="4"/>
      <c r="C9" s="6"/>
      <c r="D9" s="57"/>
      <c r="E9" s="57"/>
      <c r="F9" s="6"/>
      <c r="G9" s="6"/>
      <c r="H9" s="6"/>
      <c r="I9" s="57"/>
      <c r="J9" s="6" t="s">
        <v>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8" ht="15" x14ac:dyDescent="0.25">
      <c r="B10" s="4" t="s">
        <v>8</v>
      </c>
      <c r="C10" s="5">
        <v>74600</v>
      </c>
      <c r="D10" s="9">
        <v>81600</v>
      </c>
      <c r="E10" s="9"/>
      <c r="F10" s="5"/>
      <c r="G10" s="5" t="e">
        <f>#REF!</f>
        <v>#REF!</v>
      </c>
      <c r="H10" s="5">
        <f t="shared" ref="H10:H18" si="0">C10</f>
        <v>74600</v>
      </c>
      <c r="I10" s="9">
        <f t="shared" ref="I10:I18" si="1">D10</f>
        <v>81600</v>
      </c>
      <c r="J10" s="5"/>
      <c r="K10" s="5"/>
      <c r="L10" s="5"/>
      <c r="M10" s="5"/>
      <c r="N10" s="5"/>
      <c r="O10" s="5"/>
      <c r="P10" s="5"/>
      <c r="Q10" s="5"/>
      <c r="R10" s="4"/>
      <c r="S10" s="4"/>
      <c r="T10" s="4"/>
      <c r="U10" s="4"/>
      <c r="V10" s="4"/>
      <c r="W10" s="4"/>
      <c r="X10" s="4"/>
      <c r="Y10" s="14"/>
      <c r="Z10" s="4"/>
    </row>
    <row r="11" spans="1:28" ht="15" x14ac:dyDescent="0.25">
      <c r="B11" s="4" t="s">
        <v>9</v>
      </c>
      <c r="C11" s="5">
        <v>150000</v>
      </c>
      <c r="D11" s="9">
        <v>169000</v>
      </c>
      <c r="E11" s="9"/>
      <c r="F11" s="5"/>
      <c r="G11" s="5" t="e">
        <f>#REF!</f>
        <v>#REF!</v>
      </c>
      <c r="H11" s="5">
        <f t="shared" si="0"/>
        <v>150000</v>
      </c>
      <c r="I11" s="9">
        <f t="shared" si="1"/>
        <v>169000</v>
      </c>
      <c r="J11" s="5"/>
      <c r="K11" s="5"/>
      <c r="L11" s="5"/>
      <c r="M11" s="5"/>
      <c r="N11" s="5"/>
      <c r="O11" s="5"/>
      <c r="P11" s="5"/>
      <c r="Q11" s="5"/>
      <c r="R11" s="4"/>
      <c r="S11" s="4"/>
      <c r="T11" s="4"/>
      <c r="U11" s="4"/>
      <c r="V11" s="4"/>
      <c r="W11" s="4"/>
      <c r="X11" s="4"/>
      <c r="Y11" s="14"/>
      <c r="Z11" s="4"/>
    </row>
    <row r="12" spans="1:28" ht="15" x14ac:dyDescent="0.25">
      <c r="B12" s="4" t="s">
        <v>10</v>
      </c>
      <c r="C12" s="5">
        <v>118000</v>
      </c>
      <c r="D12" s="9">
        <v>91522</v>
      </c>
      <c r="E12" s="9"/>
      <c r="F12" s="5"/>
      <c r="G12" s="5" t="e">
        <f>#REF!</f>
        <v>#REF!</v>
      </c>
      <c r="H12" s="5">
        <f t="shared" si="0"/>
        <v>118000</v>
      </c>
      <c r="I12" s="9">
        <f t="shared" si="1"/>
        <v>91522</v>
      </c>
      <c r="J12" s="5"/>
      <c r="K12" s="5"/>
      <c r="L12" s="5"/>
      <c r="M12" s="5"/>
      <c r="N12" s="5"/>
      <c r="O12" s="5"/>
      <c r="P12" s="5"/>
      <c r="Q12" s="5"/>
      <c r="R12" s="4"/>
      <c r="S12" s="4"/>
      <c r="T12" s="4"/>
      <c r="U12" s="4"/>
      <c r="V12" s="4"/>
      <c r="W12" s="4"/>
      <c r="X12" s="4"/>
      <c r="Y12" s="14"/>
      <c r="Z12" s="4"/>
    </row>
    <row r="13" spans="1:28" ht="15" x14ac:dyDescent="0.25">
      <c r="B13" s="4" t="s">
        <v>11</v>
      </c>
      <c r="C13" s="5">
        <v>50000</v>
      </c>
      <c r="D13" s="9">
        <v>24000</v>
      </c>
      <c r="E13" s="9"/>
      <c r="F13" s="5"/>
      <c r="G13" s="5" t="e">
        <f>#REF!</f>
        <v>#REF!</v>
      </c>
      <c r="H13" s="5">
        <f t="shared" si="0"/>
        <v>50000</v>
      </c>
      <c r="I13" s="9">
        <f t="shared" si="1"/>
        <v>24000</v>
      </c>
      <c r="J13" s="5"/>
      <c r="K13" s="5"/>
      <c r="L13" s="5"/>
      <c r="M13" s="5"/>
      <c r="N13" s="5"/>
      <c r="O13" s="5"/>
      <c r="P13" s="5"/>
      <c r="Q13" s="5"/>
      <c r="R13" s="4"/>
      <c r="S13" s="4"/>
      <c r="T13" s="4"/>
      <c r="U13" s="4"/>
      <c r="V13" s="4"/>
      <c r="W13" s="4"/>
      <c r="X13" s="4"/>
      <c r="Y13" s="14"/>
      <c r="Z13" s="4"/>
    </row>
    <row r="14" spans="1:28" ht="15" x14ac:dyDescent="0.25">
      <c r="B14" s="4" t="s">
        <v>12</v>
      </c>
      <c r="C14" s="5">
        <v>26100</v>
      </c>
      <c r="D14" s="9">
        <v>26429</v>
      </c>
      <c r="E14" s="9"/>
      <c r="F14" s="5"/>
      <c r="G14" s="5" t="e">
        <f>#REF!</f>
        <v>#REF!</v>
      </c>
      <c r="H14" s="5">
        <f t="shared" si="0"/>
        <v>26100</v>
      </c>
      <c r="I14" s="9">
        <f t="shared" si="1"/>
        <v>26429</v>
      </c>
      <c r="J14" s="5"/>
      <c r="K14" s="5"/>
      <c r="L14" s="5"/>
      <c r="M14" s="5"/>
      <c r="N14" s="5"/>
      <c r="O14" s="5"/>
      <c r="P14" s="5"/>
      <c r="Q14" s="5"/>
      <c r="R14" s="4"/>
      <c r="S14" s="4"/>
      <c r="T14" s="4"/>
      <c r="U14" s="4"/>
      <c r="V14" s="4"/>
      <c r="W14" s="4"/>
      <c r="X14" s="4"/>
      <c r="Y14" s="4"/>
      <c r="Z14" s="4"/>
    </row>
    <row r="15" spans="1:28" ht="15" x14ac:dyDescent="0.25">
      <c r="B15" s="4" t="s">
        <v>13</v>
      </c>
      <c r="C15" s="5">
        <v>1000</v>
      </c>
      <c r="D15" s="9">
        <v>1000</v>
      </c>
      <c r="E15" s="9"/>
      <c r="F15" s="5"/>
      <c r="G15" s="5" t="e">
        <f>#REF!</f>
        <v>#REF!</v>
      </c>
      <c r="H15" s="5">
        <f t="shared" si="0"/>
        <v>1000</v>
      </c>
      <c r="I15" s="9">
        <f t="shared" si="1"/>
        <v>1000</v>
      </c>
      <c r="J15" s="5"/>
      <c r="K15" s="5"/>
      <c r="L15" s="5"/>
      <c r="M15" s="5"/>
      <c r="N15" s="5"/>
      <c r="O15" s="5"/>
      <c r="P15" s="5"/>
      <c r="Q15" s="5"/>
      <c r="R15" s="4"/>
      <c r="S15" s="4"/>
      <c r="T15" s="4"/>
      <c r="U15" s="4"/>
      <c r="V15" s="4"/>
      <c r="W15" s="4"/>
      <c r="X15" s="4"/>
      <c r="Y15" s="4"/>
      <c r="Z15" s="4"/>
    </row>
    <row r="16" spans="1:28" ht="15" x14ac:dyDescent="0.25">
      <c r="B16" s="4" t="s">
        <v>14</v>
      </c>
      <c r="C16" s="5">
        <v>8000</v>
      </c>
      <c r="D16" s="9">
        <v>7000</v>
      </c>
      <c r="E16" s="9"/>
      <c r="F16" s="5"/>
      <c r="G16" s="5" t="e">
        <f>#REF!</f>
        <v>#REF!</v>
      </c>
      <c r="H16" s="5">
        <f t="shared" si="0"/>
        <v>8000</v>
      </c>
      <c r="I16" s="9">
        <f t="shared" si="1"/>
        <v>7000</v>
      </c>
      <c r="J16" s="5"/>
      <c r="K16" s="5"/>
      <c r="L16" s="5"/>
      <c r="M16" s="5"/>
      <c r="N16" s="5"/>
      <c r="O16" s="5"/>
      <c r="P16" s="5"/>
      <c r="Q16" s="5"/>
      <c r="R16" s="4"/>
      <c r="S16" s="4"/>
      <c r="T16" s="4"/>
      <c r="U16" s="4"/>
      <c r="V16" s="4"/>
      <c r="W16" s="4"/>
      <c r="X16" s="4"/>
      <c r="Y16" s="4"/>
      <c r="Z16" s="4"/>
    </row>
    <row r="17" spans="1:28" ht="15" x14ac:dyDescent="0.25">
      <c r="B17" s="4" t="s">
        <v>15</v>
      </c>
      <c r="C17" s="5">
        <v>5000</v>
      </c>
      <c r="D17" s="9">
        <v>5000</v>
      </c>
      <c r="E17" s="9"/>
      <c r="F17" s="5"/>
      <c r="G17" s="5" t="e">
        <f>#REF!</f>
        <v>#REF!</v>
      </c>
      <c r="H17" s="5">
        <f t="shared" si="0"/>
        <v>5000</v>
      </c>
      <c r="I17" s="9">
        <f t="shared" si="1"/>
        <v>5000</v>
      </c>
      <c r="J17" s="5"/>
      <c r="K17" s="5"/>
      <c r="L17" s="5"/>
      <c r="M17" s="5"/>
      <c r="N17" s="5"/>
      <c r="O17" s="5"/>
      <c r="P17" s="5"/>
      <c r="Q17" s="5"/>
      <c r="R17" s="4"/>
      <c r="S17" s="4"/>
      <c r="T17" s="4"/>
      <c r="U17" s="4"/>
      <c r="V17" s="4"/>
      <c r="W17" s="4"/>
      <c r="X17" s="4"/>
      <c r="Y17" s="13"/>
      <c r="Z17" s="4"/>
    </row>
    <row r="18" spans="1:28" ht="15" x14ac:dyDescent="0.25">
      <c r="B18" s="4" t="s">
        <v>71</v>
      </c>
      <c r="C18" s="58">
        <v>-250000</v>
      </c>
      <c r="D18" s="56">
        <v>-250000</v>
      </c>
      <c r="E18" s="56"/>
      <c r="F18" s="58"/>
      <c r="G18" s="58" t="e">
        <f>#REF!</f>
        <v>#REF!</v>
      </c>
      <c r="H18" s="58">
        <f t="shared" si="0"/>
        <v>-250000</v>
      </c>
      <c r="I18" s="9">
        <f t="shared" si="1"/>
        <v>-250000</v>
      </c>
      <c r="J18" s="5"/>
      <c r="K18" s="5"/>
      <c r="L18" s="5"/>
      <c r="M18" s="5"/>
      <c r="N18" s="5"/>
      <c r="O18" s="5"/>
      <c r="P18" s="5"/>
      <c r="Q18" s="5"/>
      <c r="R18" s="4"/>
      <c r="S18" s="4"/>
      <c r="T18" s="4"/>
      <c r="U18" s="4"/>
      <c r="V18" s="4"/>
      <c r="W18" s="4"/>
      <c r="X18" s="4"/>
      <c r="Y18" s="13"/>
      <c r="Z18" s="4"/>
      <c r="AB18" s="8"/>
    </row>
    <row r="19" spans="1:28" ht="15" x14ac:dyDescent="0.25">
      <c r="B19" s="4"/>
      <c r="C19" s="3"/>
      <c r="D19" s="18"/>
      <c r="E19" s="18"/>
      <c r="F19" s="3"/>
      <c r="G19" s="3"/>
      <c r="H19" s="3"/>
      <c r="I19" s="9"/>
      <c r="J19" s="5"/>
      <c r="K19" s="5"/>
      <c r="L19" s="5"/>
      <c r="M19" s="5"/>
      <c r="N19" s="5"/>
      <c r="O19" s="5"/>
      <c r="P19" s="5"/>
      <c r="Q19" s="5"/>
      <c r="R19" s="4"/>
      <c r="S19" s="4"/>
      <c r="T19" s="4"/>
      <c r="U19" s="4"/>
      <c r="V19" s="4"/>
      <c r="W19" s="4"/>
      <c r="X19" s="4"/>
      <c r="Y19" s="4"/>
      <c r="Z19" s="4"/>
    </row>
    <row r="20" spans="1:28" ht="15" x14ac:dyDescent="0.25">
      <c r="B20" s="4" t="s">
        <v>16</v>
      </c>
      <c r="C20" s="5">
        <f>SUM(C9:C18)</f>
        <v>182700</v>
      </c>
      <c r="D20" s="9">
        <f>SUM(D9:D18)</f>
        <v>155551</v>
      </c>
      <c r="E20" s="9">
        <v>0</v>
      </c>
      <c r="F20" s="5">
        <f>SUM(F9:F18)</f>
        <v>0</v>
      </c>
      <c r="G20" s="5" t="e">
        <f>SUM(G9:G18)</f>
        <v>#REF!</v>
      </c>
      <c r="H20" s="5">
        <f>SUM(H9:H18)</f>
        <v>182700</v>
      </c>
      <c r="I20" s="9">
        <f>SUM(I9:I18)</f>
        <v>155551</v>
      </c>
      <c r="J20" s="5">
        <v>0</v>
      </c>
      <c r="K20" s="5">
        <v>0</v>
      </c>
      <c r="L20" s="5"/>
      <c r="M20" s="5" t="e">
        <f>(G20+K20)</f>
        <v>#REF!</v>
      </c>
      <c r="N20" s="9">
        <f>SUM(N10:N18)</f>
        <v>0</v>
      </c>
      <c r="O20" s="5"/>
      <c r="P20" s="5"/>
      <c r="Q20" s="5"/>
      <c r="R20" s="4"/>
      <c r="S20" s="4"/>
      <c r="T20" s="4"/>
      <c r="U20" s="4"/>
      <c r="V20" s="4"/>
      <c r="W20" s="4"/>
      <c r="X20" s="4"/>
      <c r="Y20" s="4"/>
      <c r="Z20" s="4"/>
    </row>
    <row r="21" spans="1:28" ht="15" x14ac:dyDescent="0.25">
      <c r="B21" s="4"/>
      <c r="C21" s="5"/>
      <c r="D21" s="9"/>
      <c r="E21" s="9"/>
      <c r="F21" s="5"/>
      <c r="G21" s="5"/>
      <c r="H21" s="5"/>
      <c r="I21" s="9"/>
      <c r="J21" s="5"/>
      <c r="K21" s="5"/>
      <c r="L21" s="5"/>
      <c r="M21" s="5"/>
      <c r="N21" s="5"/>
      <c r="O21" s="5"/>
      <c r="P21" s="5"/>
      <c r="Q21" s="5"/>
      <c r="R21" s="4"/>
      <c r="S21" s="4"/>
      <c r="T21" s="4"/>
      <c r="U21" s="4"/>
      <c r="V21" s="4"/>
      <c r="W21" s="4"/>
      <c r="X21" s="4"/>
      <c r="Y21" s="4"/>
      <c r="Z21" s="4"/>
    </row>
    <row r="22" spans="1:28" ht="15" x14ac:dyDescent="0.25">
      <c r="B22" s="4"/>
      <c r="C22" s="5"/>
      <c r="D22" s="9"/>
      <c r="E22" s="9"/>
      <c r="F22" s="5"/>
      <c r="G22" s="5"/>
      <c r="H22" s="5"/>
      <c r="I22" s="9"/>
      <c r="J22" s="5"/>
      <c r="K22" s="5"/>
      <c r="L22" s="5"/>
      <c r="M22" s="5"/>
      <c r="N22" s="5"/>
      <c r="O22" s="5"/>
      <c r="P22" s="5"/>
      <c r="Q22" s="5"/>
      <c r="R22" s="4"/>
      <c r="S22" s="4"/>
      <c r="T22" s="4"/>
      <c r="U22" s="4"/>
      <c r="V22" s="4"/>
      <c r="W22" s="4"/>
      <c r="X22" s="4"/>
      <c r="Y22" s="4"/>
      <c r="Z22" s="4"/>
    </row>
    <row r="23" spans="1:28" ht="15" x14ac:dyDescent="0.25">
      <c r="A23" s="1" t="s">
        <v>17</v>
      </c>
      <c r="B23" s="4"/>
      <c r="C23" s="5"/>
      <c r="D23" s="9"/>
      <c r="E23" s="9"/>
      <c r="F23" s="5"/>
      <c r="G23" s="5"/>
      <c r="H23" s="5"/>
      <c r="I23" s="9"/>
      <c r="J23" s="5"/>
      <c r="K23" s="5"/>
      <c r="L23" s="5"/>
      <c r="M23" s="5"/>
      <c r="N23" s="5"/>
      <c r="O23" s="5"/>
      <c r="P23" s="5"/>
      <c r="Q23" s="5"/>
      <c r="R23" s="4"/>
      <c r="S23" s="4"/>
      <c r="T23" s="4"/>
      <c r="U23" s="4"/>
      <c r="V23" s="4"/>
      <c r="W23" s="4"/>
      <c r="X23" s="4"/>
      <c r="Y23" s="4"/>
      <c r="Z23" s="4"/>
    </row>
    <row r="24" spans="1:28" ht="15" x14ac:dyDescent="0.25">
      <c r="B24" s="4" t="s">
        <v>18</v>
      </c>
      <c r="C24" s="5">
        <v>111000</v>
      </c>
      <c r="D24" s="9">
        <v>114000</v>
      </c>
      <c r="E24" s="9"/>
      <c r="F24" s="5"/>
      <c r="G24" s="5" t="e">
        <f>#REF!</f>
        <v>#REF!</v>
      </c>
      <c r="H24" s="5">
        <f t="shared" ref="H24:H35" si="2">C24</f>
        <v>111000</v>
      </c>
      <c r="I24" s="9">
        <f t="shared" ref="I24:I35" si="3">D24</f>
        <v>114000</v>
      </c>
      <c r="J24" s="5"/>
      <c r="K24" s="5"/>
      <c r="L24" s="5"/>
      <c r="M24" s="5"/>
      <c r="N24" s="5"/>
      <c r="O24" s="5"/>
      <c r="P24" s="5"/>
      <c r="Q24" s="5"/>
      <c r="R24" s="4"/>
      <c r="S24" s="4"/>
      <c r="T24" s="4"/>
      <c r="U24" s="4"/>
      <c r="V24" s="4"/>
      <c r="W24" s="4"/>
      <c r="X24" s="4"/>
      <c r="Y24" s="4"/>
      <c r="Z24" s="4"/>
    </row>
    <row r="25" spans="1:28" ht="15" x14ac:dyDescent="0.25">
      <c r="B25" s="4" t="s">
        <v>19</v>
      </c>
      <c r="C25" s="5">
        <v>1000</v>
      </c>
      <c r="D25" s="9">
        <v>1000</v>
      </c>
      <c r="E25" s="9"/>
      <c r="F25" s="5"/>
      <c r="G25" s="5" t="e">
        <f>#REF!</f>
        <v>#REF!</v>
      </c>
      <c r="H25" s="5">
        <f t="shared" si="2"/>
        <v>1000</v>
      </c>
      <c r="I25" s="9">
        <f t="shared" si="3"/>
        <v>1000</v>
      </c>
      <c r="J25" s="5"/>
      <c r="K25" s="5"/>
      <c r="L25" s="5"/>
      <c r="M25" s="5"/>
      <c r="N25" s="5"/>
      <c r="O25" s="5"/>
      <c r="P25" s="5"/>
      <c r="Q25" s="5"/>
      <c r="R25" s="4"/>
      <c r="S25" s="4"/>
      <c r="T25" s="4"/>
      <c r="U25" s="4"/>
      <c r="V25" s="4"/>
      <c r="W25" s="4"/>
      <c r="X25" s="4"/>
      <c r="Y25" s="4"/>
      <c r="Z25" s="4"/>
    </row>
    <row r="26" spans="1:28" ht="15" x14ac:dyDescent="0.25">
      <c r="B26" s="4" t="s">
        <v>20</v>
      </c>
      <c r="C26" s="5">
        <v>35000</v>
      </c>
      <c r="D26" s="9">
        <v>34000</v>
      </c>
      <c r="E26" s="9"/>
      <c r="F26" s="5"/>
      <c r="G26" s="5" t="e">
        <f>#REF!</f>
        <v>#REF!</v>
      </c>
      <c r="H26" s="5">
        <f t="shared" si="2"/>
        <v>35000</v>
      </c>
      <c r="I26" s="9">
        <f t="shared" si="3"/>
        <v>34000</v>
      </c>
      <c r="J26" s="5"/>
      <c r="K26" s="5"/>
      <c r="L26" s="5"/>
      <c r="M26" s="5"/>
      <c r="N26" s="5"/>
      <c r="O26" s="5"/>
      <c r="P26" s="5"/>
      <c r="Q26" s="5"/>
      <c r="R26" s="4"/>
      <c r="S26" s="4"/>
      <c r="T26" s="4"/>
      <c r="U26" s="4"/>
      <c r="V26" s="4"/>
      <c r="W26" s="4"/>
      <c r="X26" s="4"/>
      <c r="Y26" s="4"/>
      <c r="Z26" s="4"/>
    </row>
    <row r="27" spans="1:28" ht="15" x14ac:dyDescent="0.25">
      <c r="B27" s="4" t="s">
        <v>150</v>
      </c>
      <c r="C27" s="5">
        <v>40000</v>
      </c>
      <c r="D27" s="9">
        <v>25000</v>
      </c>
      <c r="E27" s="9"/>
      <c r="F27" s="5"/>
      <c r="G27" s="5" t="e">
        <f>#REF!</f>
        <v>#REF!</v>
      </c>
      <c r="H27" s="5">
        <f t="shared" si="2"/>
        <v>40000</v>
      </c>
      <c r="I27" s="9">
        <f t="shared" si="3"/>
        <v>25000</v>
      </c>
      <c r="J27" s="5"/>
      <c r="K27" s="5"/>
      <c r="L27" s="5"/>
      <c r="M27" s="5"/>
      <c r="N27" s="5"/>
      <c r="O27" s="5"/>
      <c r="P27" s="5"/>
      <c r="Q27" s="5"/>
      <c r="R27" s="4"/>
      <c r="S27" s="4"/>
      <c r="T27" s="4"/>
      <c r="U27" s="4"/>
      <c r="V27" s="4"/>
      <c r="W27" s="4"/>
      <c r="X27" s="4"/>
      <c r="Y27" s="4"/>
      <c r="Z27" s="4"/>
    </row>
    <row r="28" spans="1:28" ht="15" x14ac:dyDescent="0.25">
      <c r="B28" s="4" t="s">
        <v>134</v>
      </c>
      <c r="C28" s="5">
        <v>0</v>
      </c>
      <c r="D28" s="9">
        <v>17200</v>
      </c>
      <c r="E28" s="9"/>
      <c r="F28" s="5"/>
      <c r="G28" s="5"/>
      <c r="H28" s="5">
        <f t="shared" si="2"/>
        <v>0</v>
      </c>
      <c r="I28" s="9">
        <f t="shared" si="3"/>
        <v>17200</v>
      </c>
      <c r="J28" s="5"/>
      <c r="K28" s="5"/>
      <c r="L28" s="5"/>
      <c r="M28" s="5"/>
      <c r="N28" s="5"/>
      <c r="O28" s="5"/>
      <c r="P28" s="5"/>
      <c r="Q28" s="5"/>
      <c r="R28" s="4"/>
      <c r="S28" s="4"/>
      <c r="T28" s="4"/>
      <c r="U28" s="4"/>
      <c r="V28" s="4"/>
      <c r="W28" s="4"/>
      <c r="X28" s="4"/>
      <c r="Y28" s="4"/>
      <c r="Z28" s="4"/>
    </row>
    <row r="29" spans="1:28" ht="15" x14ac:dyDescent="0.25">
      <c r="B29" s="103" t="s">
        <v>136</v>
      </c>
      <c r="C29" s="5">
        <v>26000</v>
      </c>
      <c r="D29" s="9">
        <v>20000</v>
      </c>
      <c r="E29" s="9"/>
      <c r="F29" s="5"/>
      <c r="G29" s="5" t="e">
        <f>#REF!</f>
        <v>#REF!</v>
      </c>
      <c r="H29" s="5">
        <f t="shared" si="2"/>
        <v>26000</v>
      </c>
      <c r="I29" s="9">
        <f t="shared" si="3"/>
        <v>20000</v>
      </c>
      <c r="J29" s="5"/>
      <c r="K29" s="5"/>
      <c r="L29" s="5"/>
      <c r="M29" s="5"/>
      <c r="N29" s="5"/>
      <c r="O29" s="5"/>
      <c r="P29" s="5"/>
      <c r="Q29" s="5"/>
      <c r="R29" s="4"/>
      <c r="S29" s="4"/>
      <c r="T29" s="4"/>
      <c r="U29" s="4"/>
      <c r="V29" s="4"/>
      <c r="W29" s="4"/>
      <c r="X29" s="4"/>
      <c r="Y29" s="15"/>
      <c r="Z29" s="4"/>
    </row>
    <row r="30" spans="1:28" ht="15" x14ac:dyDescent="0.25">
      <c r="B30" s="103" t="s">
        <v>137</v>
      </c>
      <c r="C30" s="5">
        <v>5000</v>
      </c>
      <c r="D30" s="9">
        <v>3000</v>
      </c>
      <c r="E30" s="9"/>
      <c r="F30" s="5"/>
      <c r="G30" s="5" t="e">
        <f>#REF!</f>
        <v>#REF!</v>
      </c>
      <c r="H30" s="5">
        <f t="shared" si="2"/>
        <v>5000</v>
      </c>
      <c r="I30" s="9">
        <f t="shared" si="3"/>
        <v>3000</v>
      </c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  <c r="V30" s="4"/>
      <c r="W30" s="4"/>
      <c r="X30" s="4"/>
      <c r="Y30" s="4"/>
      <c r="Z30" s="4"/>
    </row>
    <row r="31" spans="1:28" ht="15" x14ac:dyDescent="0.25">
      <c r="B31" s="4" t="s">
        <v>21</v>
      </c>
      <c r="C31" s="5">
        <v>15000</v>
      </c>
      <c r="D31" s="9">
        <v>10000</v>
      </c>
      <c r="E31" s="9"/>
      <c r="F31" s="5"/>
      <c r="G31" s="5" t="e">
        <f>#REF!</f>
        <v>#REF!</v>
      </c>
      <c r="H31" s="5">
        <f t="shared" si="2"/>
        <v>15000</v>
      </c>
      <c r="I31" s="9">
        <f t="shared" si="3"/>
        <v>10000</v>
      </c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  <c r="V31" s="4"/>
      <c r="W31" s="4"/>
      <c r="X31" s="4"/>
      <c r="Y31" s="4"/>
      <c r="Z31" s="4"/>
    </row>
    <row r="32" spans="1:28" ht="15" x14ac:dyDescent="0.25">
      <c r="B32" s="103" t="s">
        <v>139</v>
      </c>
      <c r="C32" s="5">
        <v>10000</v>
      </c>
      <c r="D32" s="9">
        <v>25000</v>
      </c>
      <c r="E32" s="9"/>
      <c r="F32" s="5"/>
      <c r="G32" s="5" t="e">
        <f>#REF!</f>
        <v>#REF!</v>
      </c>
      <c r="H32" s="5">
        <f t="shared" si="2"/>
        <v>10000</v>
      </c>
      <c r="I32" s="9">
        <f t="shared" si="3"/>
        <v>25000</v>
      </c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  <c r="V32" s="4"/>
      <c r="W32" s="4"/>
      <c r="X32" s="4"/>
      <c r="Y32" s="4"/>
      <c r="Z32" s="4"/>
    </row>
    <row r="33" spans="1:26" ht="15" x14ac:dyDescent="0.25">
      <c r="B33" s="4" t="s">
        <v>22</v>
      </c>
      <c r="C33" s="5">
        <v>6000</v>
      </c>
      <c r="D33" s="9">
        <v>11000</v>
      </c>
      <c r="E33" s="9"/>
      <c r="F33" s="5"/>
      <c r="G33" s="5" t="e">
        <f>#REF!</f>
        <v>#REF!</v>
      </c>
      <c r="H33" s="5">
        <f t="shared" si="2"/>
        <v>6000</v>
      </c>
      <c r="I33" s="9">
        <f t="shared" si="3"/>
        <v>11000</v>
      </c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  <c r="V33" s="4"/>
      <c r="W33" s="4"/>
      <c r="X33" s="4"/>
      <c r="Y33" s="15"/>
      <c r="Z33" s="4"/>
    </row>
    <row r="34" spans="1:26" ht="15" x14ac:dyDescent="0.25">
      <c r="B34" s="103" t="s">
        <v>138</v>
      </c>
      <c r="C34" s="5">
        <v>15000</v>
      </c>
      <c r="D34" s="9">
        <v>6000</v>
      </c>
      <c r="E34" s="9"/>
      <c r="F34" s="5"/>
      <c r="G34" s="5" t="e">
        <f>#REF!</f>
        <v>#REF!</v>
      </c>
      <c r="H34" s="5">
        <f t="shared" si="2"/>
        <v>15000</v>
      </c>
      <c r="I34" s="9">
        <f>D34</f>
        <v>6000</v>
      </c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  <c r="V34" s="4"/>
      <c r="W34" s="4"/>
      <c r="X34" s="4"/>
      <c r="Y34" s="4"/>
      <c r="Z34" s="4"/>
    </row>
    <row r="35" spans="1:26" ht="15" x14ac:dyDescent="0.25">
      <c r="B35" s="4" t="s">
        <v>23</v>
      </c>
      <c r="C35" s="58">
        <v>5000</v>
      </c>
      <c r="D35" s="56">
        <v>5000</v>
      </c>
      <c r="E35" s="56"/>
      <c r="F35" s="58"/>
      <c r="G35" s="58" t="e">
        <f>#REF!</f>
        <v>#REF!</v>
      </c>
      <c r="H35" s="58">
        <f t="shared" si="2"/>
        <v>5000</v>
      </c>
      <c r="I35" s="56">
        <f t="shared" si="3"/>
        <v>5000</v>
      </c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  <c r="V35" s="4"/>
      <c r="W35" s="4"/>
      <c r="X35" s="4"/>
      <c r="Y35" s="4"/>
      <c r="Z35" s="4"/>
    </row>
    <row r="36" spans="1:26" ht="15" x14ac:dyDescent="0.25">
      <c r="B36" s="4"/>
      <c r="C36" s="3"/>
      <c r="D36" s="18"/>
      <c r="E36" s="18"/>
      <c r="F36" s="3"/>
      <c r="G36" s="3"/>
      <c r="H36" s="3"/>
      <c r="I36" s="9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  <c r="V36" s="4"/>
      <c r="W36" s="4"/>
      <c r="X36" s="4"/>
      <c r="Y36" s="4"/>
      <c r="Z36" s="4"/>
    </row>
    <row r="37" spans="1:26" ht="15" x14ac:dyDescent="0.25">
      <c r="B37" s="4" t="s">
        <v>24</v>
      </c>
      <c r="C37" s="5">
        <f>SUM(C24:C35)</f>
        <v>269000</v>
      </c>
      <c r="D37" s="9">
        <f>SUM(D24:D36)</f>
        <v>271200</v>
      </c>
      <c r="E37" s="5">
        <v>0</v>
      </c>
      <c r="F37" s="9">
        <f>SUM(F24:F35)</f>
        <v>0</v>
      </c>
      <c r="G37" s="5" t="e">
        <f>SUM(G24:G35)</f>
        <v>#REF!</v>
      </c>
      <c r="H37" s="5">
        <f>SUM(H24:H35)</f>
        <v>269000</v>
      </c>
      <c r="I37" s="9">
        <f>SUM(I24:I36)</f>
        <v>271200</v>
      </c>
      <c r="J37" s="5" t="e">
        <f>(G37/12)</f>
        <v>#REF!</v>
      </c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  <c r="V37" s="4"/>
      <c r="W37" s="4"/>
      <c r="X37" s="4"/>
      <c r="Y37" s="4"/>
      <c r="Z37" s="4"/>
    </row>
    <row r="38" spans="1:26" ht="15" x14ac:dyDescent="0.25">
      <c r="B38" s="4"/>
      <c r="C38" s="5"/>
      <c r="D38" s="9"/>
      <c r="E38" s="9"/>
      <c r="F38" s="5"/>
      <c r="G38" s="5"/>
      <c r="H38" s="5"/>
      <c r="I38" s="9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  <c r="V38" s="4"/>
      <c r="W38" s="4"/>
      <c r="X38" s="4"/>
      <c r="Y38" s="4"/>
      <c r="Z38" s="4"/>
    </row>
    <row r="39" spans="1:26" ht="15" x14ac:dyDescent="0.25">
      <c r="B39" s="4"/>
      <c r="C39" s="5"/>
      <c r="D39" s="9"/>
      <c r="E39" s="9"/>
      <c r="F39" s="5"/>
      <c r="G39" s="5"/>
      <c r="H39" s="5"/>
      <c r="I39" s="9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  <c r="V39" s="4"/>
      <c r="W39" s="4"/>
      <c r="X39" s="4"/>
      <c r="Y39" s="4"/>
      <c r="Z39" s="4"/>
    </row>
    <row r="40" spans="1:26" ht="15" x14ac:dyDescent="0.25">
      <c r="A40" s="1" t="s">
        <v>25</v>
      </c>
      <c r="B40" s="4"/>
      <c r="C40" s="5"/>
      <c r="D40" s="9"/>
      <c r="E40" s="9"/>
      <c r="F40" s="5"/>
      <c r="G40" s="5"/>
      <c r="H40" s="5"/>
      <c r="I40" s="9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  <c r="V40" s="4"/>
      <c r="W40" s="4"/>
      <c r="X40" s="4"/>
      <c r="Y40" s="4"/>
      <c r="Z40" s="4"/>
    </row>
    <row r="41" spans="1:26" ht="15" x14ac:dyDescent="0.25">
      <c r="B41" s="4" t="s">
        <v>26</v>
      </c>
      <c r="C41" s="5">
        <v>500</v>
      </c>
      <c r="D41" s="9"/>
      <c r="E41" s="5">
        <v>27650</v>
      </c>
      <c r="F41" s="9">
        <v>30000</v>
      </c>
      <c r="G41" s="5" t="e">
        <f>SUM(#REF!+#REF!)</f>
        <v>#REF!</v>
      </c>
      <c r="H41" s="5">
        <f>SUM(C41+E41)</f>
        <v>28150</v>
      </c>
      <c r="I41" s="9">
        <f>F41</f>
        <v>30000</v>
      </c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  <c r="V41" s="4"/>
      <c r="W41" s="4"/>
      <c r="X41" s="4"/>
      <c r="Y41" s="4"/>
      <c r="Z41" s="4"/>
    </row>
    <row r="42" spans="1:26" ht="15" x14ac:dyDescent="0.25">
      <c r="B42" s="4" t="s">
        <v>27</v>
      </c>
      <c r="C42" s="5"/>
      <c r="D42" s="9"/>
      <c r="E42" s="5">
        <v>19320</v>
      </c>
      <c r="F42" s="9">
        <v>15000</v>
      </c>
      <c r="G42" s="5" t="e">
        <f>#REF!</f>
        <v>#REF!</v>
      </c>
      <c r="H42" s="5">
        <f>E42</f>
        <v>19320</v>
      </c>
      <c r="I42" s="9">
        <f>(D42+F42)</f>
        <v>15000</v>
      </c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  <c r="V42" s="4"/>
      <c r="W42" s="4"/>
      <c r="X42" s="4"/>
      <c r="Y42" s="4"/>
      <c r="Z42" s="4"/>
    </row>
    <row r="43" spans="1:26" ht="15" x14ac:dyDescent="0.25">
      <c r="B43" s="103" t="s">
        <v>140</v>
      </c>
      <c r="C43" s="5">
        <v>15000</v>
      </c>
      <c r="D43" s="9">
        <v>5000</v>
      </c>
      <c r="E43" s="5"/>
      <c r="F43" s="9"/>
      <c r="G43" s="5" t="e">
        <f>#REF!</f>
        <v>#REF!</v>
      </c>
      <c r="H43" s="5">
        <f>C43</f>
        <v>15000</v>
      </c>
      <c r="I43" s="9">
        <f>D43</f>
        <v>5000</v>
      </c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  <c r="V43" s="4"/>
      <c r="W43" s="4"/>
      <c r="X43" s="4"/>
      <c r="Y43" s="4"/>
      <c r="Z43" s="4"/>
    </row>
    <row r="44" spans="1:26" ht="15" x14ac:dyDescent="0.25">
      <c r="B44" s="103" t="s">
        <v>141</v>
      </c>
      <c r="C44" s="5">
        <v>8000</v>
      </c>
      <c r="D44" s="9">
        <v>4000</v>
      </c>
      <c r="E44" s="5"/>
      <c r="F44" s="9"/>
      <c r="G44" s="5" t="e">
        <f>#REF!</f>
        <v>#REF!</v>
      </c>
      <c r="H44" s="5">
        <f>C44</f>
        <v>8000</v>
      </c>
      <c r="I44" s="9">
        <f>D44</f>
        <v>4000</v>
      </c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  <c r="V44" s="4"/>
      <c r="W44" s="4"/>
      <c r="X44" s="4"/>
      <c r="Y44" s="4"/>
      <c r="Z44" s="4"/>
    </row>
    <row r="45" spans="1:26" ht="15" x14ac:dyDescent="0.25">
      <c r="B45" s="4" t="s">
        <v>28</v>
      </c>
      <c r="C45" s="5">
        <v>2000</v>
      </c>
      <c r="D45" s="9">
        <v>5000</v>
      </c>
      <c r="E45" s="79">
        <v>15000</v>
      </c>
      <c r="F45" s="9">
        <v>28000</v>
      </c>
      <c r="G45" s="5" t="e">
        <f>#REF!</f>
        <v>#REF!</v>
      </c>
      <c r="H45" s="5">
        <f>SUM(C45+E45)</f>
        <v>17000</v>
      </c>
      <c r="I45" s="9">
        <f>SUM(D45+F45)</f>
        <v>33000</v>
      </c>
      <c r="J45" s="5"/>
      <c r="K45" s="5"/>
      <c r="L45" s="5"/>
      <c r="M45" s="5"/>
      <c r="N45" s="5"/>
      <c r="O45" s="5"/>
      <c r="P45" s="5"/>
      <c r="Q45" s="5"/>
      <c r="R45" s="4"/>
      <c r="S45" s="4"/>
      <c r="T45" s="4"/>
      <c r="U45" s="4"/>
      <c r="V45" s="4"/>
      <c r="W45" s="4"/>
      <c r="X45" s="4"/>
      <c r="Y45" s="4"/>
      <c r="Z45" s="4"/>
    </row>
    <row r="46" spans="1:26" ht="15" x14ac:dyDescent="0.25">
      <c r="B46" s="4" t="s">
        <v>29</v>
      </c>
      <c r="C46" s="58">
        <v>3000</v>
      </c>
      <c r="D46" s="56">
        <v>5000</v>
      </c>
      <c r="E46" s="9"/>
      <c r="F46" s="5"/>
      <c r="G46" s="58" t="e">
        <f>#REF!</f>
        <v>#REF!</v>
      </c>
      <c r="H46" s="58">
        <f>C46</f>
        <v>3000</v>
      </c>
      <c r="I46" s="56">
        <f>D46</f>
        <v>5000</v>
      </c>
      <c r="J46" s="5"/>
      <c r="K46" s="5"/>
      <c r="L46" s="5"/>
      <c r="M46" s="5"/>
      <c r="N46" s="5"/>
      <c r="O46" s="5"/>
      <c r="P46" s="5"/>
      <c r="Q46" s="5"/>
      <c r="R46" s="4"/>
      <c r="S46" s="4"/>
      <c r="T46" s="4"/>
      <c r="U46" s="4"/>
      <c r="V46" s="4"/>
      <c r="W46" s="4"/>
      <c r="X46" s="4"/>
      <c r="Y46" s="4"/>
      <c r="Z46" s="4"/>
    </row>
    <row r="47" spans="1:26" ht="15" x14ac:dyDescent="0.25">
      <c r="B47" s="4"/>
      <c r="C47" s="3"/>
      <c r="D47" s="18"/>
      <c r="E47" s="18"/>
      <c r="F47" s="3"/>
      <c r="G47" s="3"/>
      <c r="H47" s="3"/>
      <c r="I47" s="9"/>
      <c r="J47" s="5"/>
      <c r="K47" s="5"/>
      <c r="L47" s="5"/>
      <c r="M47" s="5"/>
      <c r="N47" s="5"/>
      <c r="O47" s="5"/>
      <c r="P47" s="5"/>
      <c r="Q47" s="5"/>
      <c r="R47" s="4"/>
      <c r="S47" s="4"/>
      <c r="T47" s="4"/>
      <c r="U47" s="4"/>
      <c r="V47" s="4"/>
      <c r="W47" s="4"/>
      <c r="X47" s="4"/>
      <c r="Y47" s="4"/>
      <c r="Z47" s="4"/>
    </row>
    <row r="48" spans="1:26" ht="15" x14ac:dyDescent="0.25">
      <c r="B48" s="11" t="s">
        <v>30</v>
      </c>
      <c r="C48" s="5">
        <f t="shared" ref="C48:H48" si="4">SUM(C41:C46)</f>
        <v>28500</v>
      </c>
      <c r="D48" s="9">
        <f t="shared" si="4"/>
        <v>19000</v>
      </c>
      <c r="E48" s="5">
        <f t="shared" si="4"/>
        <v>61970</v>
      </c>
      <c r="F48" s="9">
        <f t="shared" si="4"/>
        <v>73000</v>
      </c>
      <c r="G48" s="5" t="e">
        <f t="shared" si="4"/>
        <v>#REF!</v>
      </c>
      <c r="H48" s="5">
        <f t="shared" si="4"/>
        <v>90470</v>
      </c>
      <c r="I48" s="9">
        <f t="shared" ref="I48" si="5">SUM(I41:I46)</f>
        <v>92000</v>
      </c>
      <c r="J48" s="5" t="e">
        <f>(G48/12)</f>
        <v>#REF!</v>
      </c>
      <c r="K48" s="5"/>
      <c r="L48" s="5"/>
      <c r="M48" s="5"/>
      <c r="N48" s="5"/>
      <c r="O48" s="5"/>
      <c r="P48" s="5"/>
      <c r="Q48" s="5"/>
      <c r="R48" s="4"/>
      <c r="S48" s="4"/>
      <c r="T48" s="4"/>
      <c r="U48" s="4"/>
      <c r="V48" s="4"/>
      <c r="W48" s="4"/>
      <c r="X48" s="4"/>
      <c r="Y48" s="4"/>
      <c r="Z48" s="4"/>
    </row>
    <row r="49" spans="1:26" ht="15" x14ac:dyDescent="0.25">
      <c r="B49" s="4"/>
      <c r="C49" s="5"/>
      <c r="D49" s="9"/>
      <c r="E49" s="9"/>
      <c r="F49" s="5"/>
      <c r="G49" s="5"/>
      <c r="H49" s="5"/>
      <c r="I49" s="9"/>
      <c r="J49" s="5"/>
      <c r="K49" s="5"/>
      <c r="L49" s="5"/>
      <c r="M49" s="5"/>
      <c r="N49" s="5"/>
      <c r="O49" s="5"/>
      <c r="P49" s="5"/>
      <c r="Q49" s="5"/>
      <c r="R49" s="4"/>
      <c r="S49" s="4"/>
      <c r="T49" s="4"/>
      <c r="U49" s="4"/>
      <c r="V49" s="4"/>
      <c r="W49" s="4"/>
      <c r="X49" s="4"/>
      <c r="Y49" s="4"/>
      <c r="Z49" s="4"/>
    </row>
    <row r="50" spans="1:26" ht="15" x14ac:dyDescent="0.25">
      <c r="B50" s="4"/>
      <c r="C50" s="5"/>
      <c r="D50" s="9"/>
      <c r="E50" s="9"/>
      <c r="F50" s="5"/>
      <c r="G50" s="5"/>
      <c r="H50" s="5"/>
      <c r="I50" s="9"/>
      <c r="J50" s="5"/>
      <c r="K50" s="5"/>
      <c r="L50" s="5"/>
      <c r="M50" s="5"/>
      <c r="N50" s="5"/>
      <c r="O50" s="5"/>
      <c r="P50" s="5"/>
      <c r="Q50" s="5"/>
      <c r="R50" s="4"/>
      <c r="S50" s="4"/>
      <c r="T50" s="4"/>
      <c r="U50" s="4"/>
      <c r="V50" s="4"/>
      <c r="W50" s="4"/>
      <c r="X50" s="4"/>
      <c r="Y50" s="4"/>
      <c r="Z50" s="4"/>
    </row>
    <row r="51" spans="1:26" ht="15" x14ac:dyDescent="0.25">
      <c r="A51" s="4" t="s">
        <v>31</v>
      </c>
      <c r="B51" s="4"/>
      <c r="C51" s="5"/>
      <c r="D51" s="9"/>
      <c r="E51" s="9"/>
      <c r="F51" s="5"/>
      <c r="G51" s="5"/>
      <c r="H51" s="5"/>
      <c r="I51" s="9"/>
      <c r="J51" s="5"/>
      <c r="K51" s="5"/>
      <c r="L51" s="5"/>
      <c r="M51" s="5"/>
      <c r="N51" s="5"/>
      <c r="O51" s="5"/>
      <c r="P51" s="5"/>
      <c r="Q51" s="5"/>
      <c r="R51" s="4"/>
      <c r="S51" s="4"/>
      <c r="T51" s="4"/>
      <c r="U51" s="4"/>
      <c r="V51" s="4"/>
      <c r="W51" s="4"/>
      <c r="X51" s="4"/>
      <c r="Y51" s="4"/>
      <c r="Z51" s="4"/>
    </row>
    <row r="52" spans="1:26" ht="15" x14ac:dyDescent="0.25">
      <c r="A52" s="4"/>
      <c r="B52" s="4" t="s">
        <v>32</v>
      </c>
      <c r="C52" s="5">
        <v>27000</v>
      </c>
      <c r="D52" s="9">
        <v>39000</v>
      </c>
      <c r="E52" s="5">
        <v>7500</v>
      </c>
      <c r="F52" s="5"/>
      <c r="G52" s="5" t="e">
        <f>(#REF!+#REF!)</f>
        <v>#REF!</v>
      </c>
      <c r="H52" s="5">
        <f>(C52+E52)</f>
        <v>34500</v>
      </c>
      <c r="I52" s="9">
        <f>D52+F52</f>
        <v>39000</v>
      </c>
      <c r="J52" s="5"/>
      <c r="K52" s="5"/>
      <c r="L52" s="5"/>
      <c r="M52" s="5"/>
      <c r="N52" s="5"/>
      <c r="O52" s="5"/>
      <c r="P52" s="5"/>
      <c r="Q52" s="5"/>
      <c r="R52" s="4"/>
      <c r="S52" s="4"/>
      <c r="T52" s="4"/>
      <c r="U52" s="4"/>
      <c r="V52" s="4"/>
      <c r="W52" s="4"/>
      <c r="X52" s="4"/>
      <c r="Y52" s="4"/>
      <c r="Z52" s="4"/>
    </row>
    <row r="53" spans="1:26" ht="15" x14ac:dyDescent="0.25">
      <c r="A53" s="4"/>
      <c r="B53" s="103" t="s">
        <v>142</v>
      </c>
      <c r="C53" s="5">
        <v>3000</v>
      </c>
      <c r="D53" s="9">
        <v>3000</v>
      </c>
      <c r="E53" s="5">
        <v>83000</v>
      </c>
      <c r="F53" s="9">
        <v>67500</v>
      </c>
      <c r="G53" s="5" t="e">
        <f>SUM(#REF!+#REF!)</f>
        <v>#REF!</v>
      </c>
      <c r="H53" s="5">
        <f>SUM(C53+E53)</f>
        <v>86000</v>
      </c>
      <c r="I53" s="9">
        <f>D53+F53</f>
        <v>70500</v>
      </c>
      <c r="J53" s="5"/>
      <c r="K53" s="5"/>
      <c r="L53" s="5"/>
      <c r="M53" s="5"/>
      <c r="N53" s="5"/>
      <c r="O53" s="5"/>
      <c r="P53" s="5"/>
      <c r="Q53" s="5"/>
      <c r="R53" s="4"/>
      <c r="S53" s="4"/>
      <c r="T53" s="4"/>
      <c r="U53" s="4"/>
      <c r="V53" s="4"/>
      <c r="W53" s="4"/>
      <c r="X53" s="4"/>
      <c r="Y53" s="4"/>
      <c r="Z53" s="4"/>
    </row>
    <row r="54" spans="1:26" ht="15" x14ac:dyDescent="0.25">
      <c r="A54" s="4"/>
      <c r="B54" s="4" t="s">
        <v>33</v>
      </c>
      <c r="C54" s="5">
        <v>190000</v>
      </c>
      <c r="D54" s="9">
        <v>201000</v>
      </c>
      <c r="E54" s="56"/>
      <c r="F54" s="58"/>
      <c r="G54" s="58" t="e">
        <f>#REF!</f>
        <v>#REF!</v>
      </c>
      <c r="H54" s="5">
        <f>C54</f>
        <v>190000</v>
      </c>
      <c r="I54" s="9">
        <f>D54</f>
        <v>201000</v>
      </c>
      <c r="J54" s="5"/>
      <c r="K54" s="5"/>
      <c r="L54" s="5"/>
      <c r="M54" s="5"/>
      <c r="N54" s="5"/>
      <c r="O54" s="5"/>
      <c r="P54" s="5"/>
      <c r="Q54" s="5"/>
      <c r="R54" s="4"/>
      <c r="S54" s="4"/>
      <c r="T54" s="4"/>
      <c r="U54" s="4"/>
      <c r="V54" s="4"/>
      <c r="W54" s="4" t="s">
        <v>34</v>
      </c>
      <c r="X54" s="4"/>
      <c r="Y54" s="4"/>
      <c r="Z54" s="4"/>
    </row>
    <row r="55" spans="1:26" ht="15" x14ac:dyDescent="0.25">
      <c r="A55" s="4"/>
      <c r="B55" s="4"/>
      <c r="C55" s="3"/>
      <c r="D55" s="18"/>
      <c r="E55" s="18"/>
      <c r="F55" s="3"/>
      <c r="G55" s="3"/>
      <c r="H55" s="3"/>
      <c r="I55" s="9"/>
      <c r="J55" s="5"/>
      <c r="K55" s="5"/>
      <c r="L55" s="5"/>
      <c r="M55" s="5"/>
      <c r="N55" s="5"/>
      <c r="O55" s="5"/>
      <c r="P55" s="5"/>
      <c r="Q55" s="5"/>
      <c r="R55" s="4"/>
      <c r="S55" s="4"/>
      <c r="T55" s="4"/>
      <c r="U55" s="4"/>
      <c r="V55" s="4"/>
      <c r="W55" s="4"/>
      <c r="X55" s="4"/>
      <c r="Y55" s="4"/>
      <c r="Z55" s="4"/>
    </row>
    <row r="56" spans="1:26" ht="15" x14ac:dyDescent="0.25">
      <c r="A56" s="4"/>
      <c r="B56" s="11" t="s">
        <v>35</v>
      </c>
      <c r="C56" s="79">
        <f t="shared" ref="C56:H56" si="6">SUM(C52:C54)</f>
        <v>220000</v>
      </c>
      <c r="D56" s="80">
        <f t="shared" si="6"/>
        <v>243000</v>
      </c>
      <c r="E56" s="79">
        <f t="shared" si="6"/>
        <v>90500</v>
      </c>
      <c r="F56" s="80">
        <f t="shared" si="6"/>
        <v>67500</v>
      </c>
      <c r="G56" s="59" t="e">
        <f t="shared" si="6"/>
        <v>#REF!</v>
      </c>
      <c r="H56" s="58">
        <f t="shared" si="6"/>
        <v>310500</v>
      </c>
      <c r="I56" s="56">
        <f t="shared" ref="I56" si="7">SUM(I52:I54)</f>
        <v>310500</v>
      </c>
      <c r="J56" s="5" t="e">
        <f>(G56/12)</f>
        <v>#REF!</v>
      </c>
      <c r="K56" s="5"/>
      <c r="L56" s="5"/>
      <c r="M56" s="5"/>
      <c r="N56" s="5"/>
      <c r="O56" s="5"/>
      <c r="P56" s="5"/>
      <c r="Q56" s="5"/>
      <c r="R56" s="4"/>
      <c r="S56" s="4"/>
      <c r="T56" s="4"/>
      <c r="U56" s="4"/>
      <c r="V56" s="4"/>
      <c r="W56" s="4"/>
      <c r="X56" s="4"/>
      <c r="Y56" s="4"/>
      <c r="Z56" s="4"/>
    </row>
    <row r="57" spans="1:26" ht="15" x14ac:dyDescent="0.25">
      <c r="A57" s="4" t="s">
        <v>36</v>
      </c>
      <c r="B57" s="4"/>
      <c r="C57" s="5"/>
      <c r="D57" s="9"/>
      <c r="E57" s="9"/>
      <c r="F57" s="5"/>
      <c r="G57" s="5"/>
      <c r="H57" s="5"/>
      <c r="I57" s="9"/>
      <c r="J57" s="5"/>
      <c r="K57" s="5"/>
      <c r="L57" s="5"/>
      <c r="M57" s="5"/>
      <c r="N57" s="5"/>
      <c r="O57" s="5"/>
      <c r="P57" s="5"/>
      <c r="Q57" s="5"/>
      <c r="R57" s="4"/>
      <c r="S57" s="4"/>
      <c r="T57" s="4"/>
      <c r="U57" s="4"/>
      <c r="V57" s="4"/>
      <c r="W57" s="4"/>
      <c r="X57" s="4"/>
      <c r="Y57" s="4"/>
      <c r="Z57" s="4"/>
    </row>
    <row r="58" spans="1:26" ht="15" x14ac:dyDescent="0.25">
      <c r="A58" s="4"/>
      <c r="B58" s="4"/>
      <c r="C58" s="5"/>
      <c r="D58" s="9"/>
      <c r="E58" s="9"/>
      <c r="F58" s="5"/>
      <c r="G58" s="5"/>
      <c r="H58" s="5"/>
      <c r="I58" s="9"/>
      <c r="J58" s="5"/>
      <c r="K58" s="5"/>
      <c r="L58" s="5"/>
      <c r="M58" s="5"/>
      <c r="N58" s="5"/>
      <c r="O58" s="5"/>
      <c r="P58" s="5"/>
      <c r="Q58" s="5"/>
      <c r="R58" s="4"/>
      <c r="S58" s="4"/>
      <c r="T58" s="4"/>
      <c r="U58" s="4"/>
      <c r="V58" s="4"/>
      <c r="W58" s="4"/>
      <c r="X58" s="4"/>
      <c r="Y58" s="4"/>
      <c r="Z58" s="4"/>
    </row>
    <row r="59" spans="1:26" ht="15" x14ac:dyDescent="0.25">
      <c r="A59" s="4"/>
      <c r="B59" s="4"/>
      <c r="C59" s="7">
        <v>2024</v>
      </c>
      <c r="D59" s="16">
        <v>2025</v>
      </c>
      <c r="E59" s="7">
        <v>2024</v>
      </c>
      <c r="F59" s="16">
        <v>2025</v>
      </c>
      <c r="G59" s="7">
        <v>2023</v>
      </c>
      <c r="H59" s="7">
        <v>2024</v>
      </c>
      <c r="I59" s="9">
        <v>2025</v>
      </c>
      <c r="J59" s="5" t="s">
        <v>37</v>
      </c>
      <c r="K59" s="5"/>
      <c r="L59" s="5"/>
      <c r="M59" s="5"/>
      <c r="N59" s="5"/>
      <c r="O59" s="5"/>
      <c r="P59" s="5"/>
      <c r="Q59" s="5"/>
      <c r="R59" s="4"/>
      <c r="S59" s="4"/>
      <c r="T59" s="4"/>
      <c r="U59" s="4"/>
      <c r="V59" s="4"/>
      <c r="W59" s="4"/>
      <c r="X59" s="4"/>
      <c r="Y59" s="4"/>
      <c r="Z59" s="4"/>
    </row>
    <row r="60" spans="1:26" ht="15" x14ac:dyDescent="0.25">
      <c r="A60" s="4"/>
      <c r="B60" s="4"/>
      <c r="C60" s="3"/>
      <c r="D60" s="18"/>
      <c r="E60" s="18"/>
      <c r="F60" s="3"/>
      <c r="G60" s="3"/>
      <c r="H60" s="3"/>
      <c r="I60" s="18"/>
      <c r="J60" s="3" t="s">
        <v>7</v>
      </c>
      <c r="K60" s="5"/>
      <c r="L60" s="5"/>
      <c r="M60" s="5"/>
      <c r="N60" s="5"/>
      <c r="O60" s="5"/>
      <c r="P60" s="5"/>
      <c r="Q60" s="5"/>
      <c r="R60" s="4"/>
      <c r="S60" s="4"/>
      <c r="T60" s="4"/>
      <c r="U60" s="4"/>
      <c r="V60" s="4"/>
      <c r="W60" s="4"/>
      <c r="X60" s="4"/>
      <c r="Y60" s="4"/>
      <c r="Z60" s="4"/>
    </row>
    <row r="61" spans="1:26" ht="15" x14ac:dyDescent="0.25">
      <c r="A61" s="4" t="s">
        <v>38</v>
      </c>
      <c r="B61" s="4"/>
      <c r="C61" s="5"/>
      <c r="D61" s="9"/>
      <c r="E61" s="9"/>
      <c r="F61" s="5"/>
      <c r="G61" s="5"/>
      <c r="H61" s="5"/>
      <c r="I61" s="9"/>
      <c r="J61" s="5"/>
      <c r="K61" s="5"/>
      <c r="L61" s="5"/>
      <c r="M61" s="5"/>
      <c r="N61" s="5"/>
      <c r="O61" s="5"/>
      <c r="P61" s="5"/>
      <c r="Q61" s="5"/>
      <c r="R61" s="4"/>
      <c r="S61" s="4"/>
      <c r="T61" s="4"/>
      <c r="U61" s="4"/>
      <c r="V61" s="4"/>
      <c r="W61" s="4" t="s">
        <v>39</v>
      </c>
      <c r="X61" s="4"/>
      <c r="Y61" s="4"/>
      <c r="Z61" s="4"/>
    </row>
    <row r="62" spans="1:26" ht="15" x14ac:dyDescent="0.25">
      <c r="A62" s="4"/>
      <c r="B62" s="4" t="s">
        <v>40</v>
      </c>
      <c r="C62" s="5">
        <v>3900</v>
      </c>
      <c r="D62" s="9">
        <v>3300</v>
      </c>
      <c r="E62" s="5">
        <v>42100</v>
      </c>
      <c r="F62" s="9">
        <v>46310</v>
      </c>
      <c r="G62" s="5" t="e">
        <f>SUM(#REF!+#REF!)</f>
        <v>#REF!</v>
      </c>
      <c r="H62" s="5">
        <f>SUM(C62+E62)</f>
        <v>46000</v>
      </c>
      <c r="I62" s="9">
        <f>D62+F62</f>
        <v>49610</v>
      </c>
      <c r="J62" s="5"/>
      <c r="K62" s="5"/>
      <c r="L62" s="5"/>
      <c r="M62" s="5"/>
      <c r="N62" s="5"/>
      <c r="O62" s="5"/>
      <c r="P62" s="5"/>
      <c r="Q62" s="5"/>
      <c r="R62" s="4"/>
      <c r="S62" s="4"/>
      <c r="T62" s="4"/>
      <c r="U62" s="4"/>
      <c r="V62" s="4"/>
      <c r="W62" s="4" t="s">
        <v>41</v>
      </c>
      <c r="X62" s="4"/>
      <c r="Y62" s="4"/>
      <c r="Z62" s="4"/>
    </row>
    <row r="63" spans="1:26" ht="15" x14ac:dyDescent="0.25">
      <c r="A63" s="4"/>
      <c r="B63" s="4" t="s">
        <v>42</v>
      </c>
      <c r="C63" s="5">
        <v>69054</v>
      </c>
      <c r="D63" s="56">
        <v>80621</v>
      </c>
      <c r="E63" s="58">
        <v>708855</v>
      </c>
      <c r="F63" s="56">
        <v>957745</v>
      </c>
      <c r="G63" s="5" t="e">
        <f>SUM(#REF!+#REF!)</f>
        <v>#REF!</v>
      </c>
      <c r="H63" s="58">
        <f>SUM(C63+E63)</f>
        <v>777909</v>
      </c>
      <c r="I63" s="56">
        <f>SUM(D63+F63)</f>
        <v>1038366</v>
      </c>
      <c r="J63" s="5"/>
      <c r="K63" s="5"/>
      <c r="L63" s="5"/>
      <c r="M63" s="5"/>
      <c r="N63" s="5"/>
      <c r="O63" s="5"/>
      <c r="P63" s="5"/>
      <c r="Q63" s="5"/>
      <c r="R63" s="4"/>
      <c r="S63" s="4"/>
      <c r="T63" s="4"/>
      <c r="U63" s="4"/>
      <c r="V63" s="4"/>
      <c r="W63" s="4" t="s">
        <v>43</v>
      </c>
      <c r="X63" s="4"/>
      <c r="Y63" s="4"/>
      <c r="Z63" s="4"/>
    </row>
    <row r="64" spans="1:26" ht="15" x14ac:dyDescent="0.25">
      <c r="A64" s="4"/>
      <c r="B64" s="4"/>
      <c r="C64" s="5"/>
      <c r="D64" s="9"/>
      <c r="E64" s="9"/>
      <c r="F64" s="5"/>
      <c r="G64" s="5"/>
      <c r="H64" s="5"/>
      <c r="I64" s="9"/>
      <c r="J64" s="5"/>
      <c r="K64" s="5"/>
      <c r="L64" s="5"/>
      <c r="M64" s="5"/>
      <c r="N64" s="5"/>
      <c r="O64" s="5"/>
      <c r="P64" s="5"/>
      <c r="Q64" s="5"/>
      <c r="R64" s="4"/>
      <c r="S64" s="4"/>
      <c r="T64" s="4"/>
      <c r="U64" s="4"/>
      <c r="V64" s="4"/>
      <c r="W64" s="4"/>
      <c r="X64" s="4"/>
      <c r="Y64" s="4"/>
      <c r="Z64" s="4"/>
    </row>
    <row r="65" spans="1:26" ht="15" x14ac:dyDescent="0.25">
      <c r="A65" s="4"/>
      <c r="B65" s="4"/>
      <c r="C65" s="3"/>
      <c r="D65" s="18"/>
      <c r="E65" s="18"/>
      <c r="F65" s="3"/>
      <c r="G65" s="3"/>
      <c r="H65" s="3"/>
      <c r="I65" s="9"/>
      <c r="J65" s="5"/>
      <c r="K65" s="5"/>
      <c r="L65" s="5"/>
      <c r="M65" s="5"/>
      <c r="N65" s="5"/>
      <c r="O65" s="5"/>
      <c r="P65" s="5"/>
      <c r="Q65" s="5"/>
      <c r="R65" s="4"/>
      <c r="S65" s="4"/>
      <c r="T65" s="4"/>
      <c r="U65" s="4"/>
      <c r="V65" s="4"/>
      <c r="W65" s="4"/>
      <c r="X65" s="4"/>
      <c r="Y65" s="4"/>
      <c r="Z65" s="4"/>
    </row>
    <row r="66" spans="1:26" ht="15" x14ac:dyDescent="0.25">
      <c r="A66" s="4"/>
      <c r="B66" s="11" t="s">
        <v>44</v>
      </c>
      <c r="C66" s="5">
        <f t="shared" ref="C66:H66" si="8">SUM(C62:C63)</f>
        <v>72954</v>
      </c>
      <c r="D66" s="9">
        <f t="shared" si="8"/>
        <v>83921</v>
      </c>
      <c r="E66" s="5">
        <f t="shared" si="8"/>
        <v>750955</v>
      </c>
      <c r="F66" s="9">
        <f t="shared" si="8"/>
        <v>1004055</v>
      </c>
      <c r="G66" s="5" t="e">
        <f t="shared" si="8"/>
        <v>#REF!</v>
      </c>
      <c r="H66" s="5">
        <f t="shared" si="8"/>
        <v>823909</v>
      </c>
      <c r="I66" s="9">
        <f>SUM(I62+I63)</f>
        <v>1087976</v>
      </c>
      <c r="J66" s="5" t="e">
        <f>(G66/12)</f>
        <v>#REF!</v>
      </c>
      <c r="K66" s="5"/>
      <c r="L66" s="5"/>
      <c r="M66" s="5"/>
      <c r="N66" s="5"/>
      <c r="O66" s="5"/>
      <c r="P66" s="5"/>
      <c r="Q66" s="5"/>
      <c r="R66" s="4"/>
      <c r="S66" s="4"/>
      <c r="T66" s="4"/>
      <c r="U66" s="4"/>
      <c r="V66" s="4"/>
      <c r="W66" s="4"/>
      <c r="X66" s="4"/>
      <c r="Y66" s="4"/>
      <c r="Z66" s="4"/>
    </row>
    <row r="67" spans="1:26" ht="15" x14ac:dyDescent="0.25">
      <c r="A67" s="4"/>
      <c r="B67" s="4"/>
      <c r="C67" s="5"/>
      <c r="D67" s="9"/>
      <c r="E67" s="9"/>
      <c r="F67" s="5"/>
      <c r="G67" s="5"/>
      <c r="H67" s="5"/>
      <c r="I67" s="9"/>
      <c r="J67" s="5"/>
      <c r="K67" s="5"/>
      <c r="L67" s="5"/>
      <c r="M67" s="5"/>
      <c r="N67" s="5"/>
      <c r="O67" s="5"/>
      <c r="P67" s="5"/>
      <c r="Q67" s="5"/>
      <c r="R67" s="4"/>
      <c r="S67" s="4"/>
      <c r="T67" s="4"/>
      <c r="U67" s="4"/>
      <c r="V67" s="4"/>
      <c r="W67" s="4"/>
      <c r="X67" s="4"/>
      <c r="Y67" s="4"/>
      <c r="Z67" s="4"/>
    </row>
    <row r="68" spans="1:26" ht="15" x14ac:dyDescent="0.25">
      <c r="A68" s="4" t="s">
        <v>45</v>
      </c>
      <c r="B68" s="4"/>
      <c r="C68" s="5"/>
      <c r="D68" s="9"/>
      <c r="E68" s="9"/>
      <c r="F68" s="5"/>
      <c r="G68" s="5"/>
      <c r="H68" s="5"/>
      <c r="I68" s="9"/>
      <c r="J68" s="5"/>
      <c r="K68" s="5"/>
      <c r="L68" s="5"/>
      <c r="M68" s="5"/>
      <c r="N68" s="5"/>
      <c r="O68" s="5"/>
      <c r="P68" s="5"/>
      <c r="Q68" s="5"/>
      <c r="R68" s="4"/>
      <c r="S68" s="4"/>
      <c r="T68" s="4"/>
      <c r="U68" s="4"/>
      <c r="V68" s="4"/>
      <c r="W68" s="4"/>
      <c r="X68" s="4"/>
      <c r="Y68" s="4"/>
      <c r="Z68" s="4"/>
    </row>
    <row r="69" spans="1:26" ht="15" x14ac:dyDescent="0.25">
      <c r="A69" s="4"/>
      <c r="B69" s="4" t="s">
        <v>68</v>
      </c>
      <c r="C69" s="5">
        <v>0</v>
      </c>
      <c r="D69" s="9">
        <v>24000</v>
      </c>
      <c r="E69" s="9"/>
      <c r="F69" s="5"/>
      <c r="G69" s="5" t="e">
        <f>#REF!</f>
        <v>#REF!</v>
      </c>
      <c r="H69" s="5">
        <f t="shared" ref="H69:H82" si="9">C69</f>
        <v>0</v>
      </c>
      <c r="I69" s="9">
        <f t="shared" ref="I69:I82" si="10">D69</f>
        <v>24000</v>
      </c>
      <c r="J69" s="5"/>
      <c r="K69" s="5"/>
      <c r="L69" s="5"/>
      <c r="M69" s="5"/>
      <c r="N69" s="5"/>
      <c r="O69" s="5"/>
      <c r="P69" s="5"/>
      <c r="Q69" s="5"/>
      <c r="R69" s="4"/>
      <c r="S69" s="4"/>
      <c r="T69" s="4"/>
      <c r="U69" s="4"/>
      <c r="V69" s="4"/>
      <c r="W69" s="4"/>
      <c r="X69" s="4"/>
      <c r="Y69" s="4"/>
      <c r="Z69" s="4"/>
    </row>
    <row r="70" spans="1:26" ht="15" x14ac:dyDescent="0.25">
      <c r="A70" s="4"/>
      <c r="B70" s="4" t="s">
        <v>46</v>
      </c>
      <c r="C70" s="5">
        <v>100</v>
      </c>
      <c r="D70" s="9">
        <v>100</v>
      </c>
      <c r="E70" s="9"/>
      <c r="F70" s="5"/>
      <c r="G70" s="5" t="e">
        <f>#REF!</f>
        <v>#REF!</v>
      </c>
      <c r="H70" s="5">
        <f t="shared" si="9"/>
        <v>100</v>
      </c>
      <c r="I70" s="9">
        <f t="shared" si="10"/>
        <v>100</v>
      </c>
      <c r="J70" s="5"/>
      <c r="K70" s="5"/>
      <c r="L70" s="5"/>
      <c r="M70" s="5"/>
      <c r="N70" s="5"/>
      <c r="O70" s="5"/>
      <c r="P70" s="5"/>
      <c r="Q70" s="5"/>
      <c r="R70" s="4"/>
      <c r="S70" s="4"/>
      <c r="T70" s="4"/>
      <c r="U70" s="4"/>
      <c r="V70" s="4"/>
      <c r="W70" s="4"/>
      <c r="X70" s="4"/>
      <c r="Y70" s="4"/>
      <c r="Z70" s="4"/>
    </row>
    <row r="71" spans="1:26" ht="15" x14ac:dyDescent="0.25">
      <c r="A71" s="4"/>
      <c r="B71" s="4" t="s">
        <v>47</v>
      </c>
      <c r="C71" s="5">
        <v>2000</v>
      </c>
      <c r="D71" s="9">
        <v>2000</v>
      </c>
      <c r="E71" s="9"/>
      <c r="F71" s="5"/>
      <c r="G71" s="5" t="e">
        <f>#REF!</f>
        <v>#REF!</v>
      </c>
      <c r="H71" s="5">
        <f t="shared" si="9"/>
        <v>2000</v>
      </c>
      <c r="I71" s="9">
        <f t="shared" si="10"/>
        <v>2000</v>
      </c>
      <c r="J71" s="5"/>
      <c r="K71" s="5"/>
      <c r="L71" s="5"/>
      <c r="M71" s="5"/>
      <c r="N71" s="5"/>
      <c r="O71" s="5"/>
      <c r="P71" s="5"/>
      <c r="Q71" s="5"/>
      <c r="R71" s="4"/>
      <c r="S71" s="4"/>
      <c r="T71" s="4"/>
      <c r="U71" s="4"/>
      <c r="V71" s="4"/>
      <c r="W71" s="4"/>
      <c r="X71" s="4"/>
      <c r="Y71" s="4"/>
      <c r="Z71" s="4"/>
    </row>
    <row r="72" spans="1:26" ht="15" x14ac:dyDescent="0.25">
      <c r="A72" s="4"/>
      <c r="B72" s="4" t="s">
        <v>48</v>
      </c>
      <c r="C72" s="5">
        <v>1500</v>
      </c>
      <c r="D72" s="9">
        <v>4000</v>
      </c>
      <c r="E72" s="9"/>
      <c r="F72" s="5"/>
      <c r="G72" s="5" t="e">
        <f>#REF!</f>
        <v>#REF!</v>
      </c>
      <c r="H72" s="5">
        <f t="shared" si="9"/>
        <v>1500</v>
      </c>
      <c r="I72" s="9">
        <f t="shared" si="10"/>
        <v>4000</v>
      </c>
      <c r="J72" s="5"/>
      <c r="K72" s="5"/>
      <c r="L72" s="5"/>
      <c r="M72" s="5"/>
      <c r="N72" s="5"/>
      <c r="O72" s="5"/>
      <c r="P72" s="5"/>
      <c r="Q72" s="5"/>
      <c r="R72" s="4"/>
      <c r="S72" s="4"/>
      <c r="T72" s="4"/>
      <c r="U72" s="4"/>
      <c r="V72" s="4"/>
      <c r="W72" s="4"/>
      <c r="X72" s="4"/>
      <c r="Y72" s="4"/>
      <c r="Z72" s="4"/>
    </row>
    <row r="73" spans="1:26" ht="15" x14ac:dyDescent="0.25">
      <c r="A73" s="4"/>
      <c r="B73" s="4" t="s">
        <v>49</v>
      </c>
      <c r="C73" s="5">
        <v>1500</v>
      </c>
      <c r="D73" s="9">
        <v>0</v>
      </c>
      <c r="E73" s="9"/>
      <c r="F73" s="5"/>
      <c r="G73" s="5" t="e">
        <f>#REF!</f>
        <v>#REF!</v>
      </c>
      <c r="H73" s="5">
        <f t="shared" si="9"/>
        <v>1500</v>
      </c>
      <c r="I73" s="9">
        <f t="shared" si="10"/>
        <v>0</v>
      </c>
      <c r="J73" s="5"/>
      <c r="K73" s="5"/>
      <c r="L73" s="5"/>
      <c r="M73" s="5"/>
      <c r="N73" s="5"/>
      <c r="O73" s="5"/>
      <c r="P73" s="5"/>
      <c r="Q73" s="5"/>
      <c r="R73" s="4"/>
      <c r="S73" s="4"/>
      <c r="T73" s="4"/>
      <c r="U73" s="4"/>
      <c r="V73" s="4"/>
      <c r="W73" s="4"/>
      <c r="X73" s="4"/>
      <c r="Y73" s="4"/>
      <c r="Z73" s="4"/>
    </row>
    <row r="74" spans="1:26" ht="15" x14ac:dyDescent="0.25">
      <c r="A74" s="4"/>
      <c r="B74" s="4" t="s">
        <v>50</v>
      </c>
      <c r="C74" s="5">
        <v>9000</v>
      </c>
      <c r="D74" s="9">
        <v>9000</v>
      </c>
      <c r="E74" s="9"/>
      <c r="F74" s="5"/>
      <c r="G74" s="5" t="e">
        <f>#REF!</f>
        <v>#REF!</v>
      </c>
      <c r="H74" s="5">
        <f t="shared" si="9"/>
        <v>9000</v>
      </c>
      <c r="I74" s="9">
        <f t="shared" si="10"/>
        <v>9000</v>
      </c>
      <c r="J74" s="5"/>
      <c r="K74" s="5"/>
      <c r="L74" s="5"/>
      <c r="M74" s="5"/>
      <c r="N74" s="5"/>
      <c r="O74" s="5"/>
      <c r="P74" s="5"/>
      <c r="Q74" s="5"/>
      <c r="R74" s="4"/>
      <c r="S74" s="4"/>
      <c r="T74" s="4"/>
      <c r="U74" s="4"/>
      <c r="V74" s="4"/>
      <c r="W74" s="4"/>
      <c r="X74" s="4"/>
      <c r="Y74" s="15"/>
      <c r="Z74" s="4"/>
    </row>
    <row r="75" spans="1:26" ht="15" x14ac:dyDescent="0.25">
      <c r="A75" s="4"/>
      <c r="B75" s="4" t="s">
        <v>51</v>
      </c>
      <c r="C75" s="5">
        <v>4000</v>
      </c>
      <c r="D75" s="9">
        <v>4000</v>
      </c>
      <c r="E75" s="9"/>
      <c r="F75" s="5"/>
      <c r="G75" s="5" t="e">
        <f>#REF!</f>
        <v>#REF!</v>
      </c>
      <c r="H75" s="5">
        <f t="shared" si="9"/>
        <v>4000</v>
      </c>
      <c r="I75" s="9">
        <f t="shared" si="10"/>
        <v>4000</v>
      </c>
      <c r="J75" s="5"/>
      <c r="K75" s="5"/>
      <c r="L75" s="5"/>
      <c r="M75" s="5"/>
      <c r="N75" s="5"/>
      <c r="O75" s="5"/>
      <c r="P75" s="5"/>
      <c r="Q75" s="5"/>
      <c r="R75" s="4"/>
      <c r="S75" s="4"/>
      <c r="T75" s="4"/>
      <c r="U75" s="4"/>
      <c r="V75" s="4"/>
      <c r="W75" s="4"/>
      <c r="X75" s="4"/>
      <c r="Y75" s="4"/>
      <c r="Z75" s="4"/>
    </row>
    <row r="76" spans="1:26" ht="15" x14ac:dyDescent="0.25">
      <c r="A76" s="4"/>
      <c r="B76" s="4" t="s">
        <v>52</v>
      </c>
      <c r="C76" s="5">
        <v>2000</v>
      </c>
      <c r="D76" s="9">
        <v>3000</v>
      </c>
      <c r="E76" s="9"/>
      <c r="F76" s="5"/>
      <c r="G76" s="5" t="e">
        <f>#REF!</f>
        <v>#REF!</v>
      </c>
      <c r="H76" s="5">
        <f t="shared" si="9"/>
        <v>2000</v>
      </c>
      <c r="I76" s="9">
        <f t="shared" si="10"/>
        <v>3000</v>
      </c>
      <c r="J76" s="5"/>
      <c r="K76" s="5"/>
      <c r="L76" s="5"/>
      <c r="M76" s="5"/>
      <c r="N76" s="5"/>
      <c r="O76" s="5"/>
      <c r="P76" s="5"/>
      <c r="Q76" s="5"/>
      <c r="R76" s="4"/>
      <c r="S76" s="4"/>
      <c r="T76" s="4"/>
      <c r="U76" s="4"/>
      <c r="V76" s="4"/>
      <c r="W76" s="4"/>
      <c r="X76" s="4"/>
      <c r="Y76" s="15"/>
      <c r="Z76" s="4"/>
    </row>
    <row r="77" spans="1:26" ht="15" x14ac:dyDescent="0.25">
      <c r="A77" s="4"/>
      <c r="B77" s="4" t="s">
        <v>174</v>
      </c>
      <c r="C77" s="5">
        <v>0</v>
      </c>
      <c r="D77" s="9">
        <v>1000</v>
      </c>
      <c r="E77" s="9"/>
      <c r="F77" s="5"/>
      <c r="G77" s="5" t="e">
        <f>#REF!</f>
        <v>#REF!</v>
      </c>
      <c r="H77" s="5">
        <f t="shared" si="9"/>
        <v>0</v>
      </c>
      <c r="I77" s="9">
        <f t="shared" si="10"/>
        <v>1000</v>
      </c>
      <c r="J77" s="5"/>
      <c r="K77" s="5"/>
      <c r="L77" s="5"/>
      <c r="M77" s="5"/>
      <c r="N77" s="5"/>
      <c r="O77" s="5"/>
      <c r="P77" s="5"/>
      <c r="Q77" s="5"/>
      <c r="R77" s="4"/>
      <c r="S77" s="4"/>
      <c r="T77" s="4"/>
      <c r="U77" s="4"/>
      <c r="V77" s="4"/>
      <c r="W77" s="4"/>
      <c r="X77" s="4"/>
      <c r="Y77" s="15"/>
      <c r="Z77" s="4"/>
    </row>
    <row r="78" spans="1:26" ht="15" x14ac:dyDescent="0.25">
      <c r="A78" s="4"/>
      <c r="B78" s="4" t="s">
        <v>53</v>
      </c>
      <c r="C78" s="5">
        <v>5000</v>
      </c>
      <c r="D78" s="9">
        <v>7500</v>
      </c>
      <c r="E78" s="9"/>
      <c r="F78" s="5"/>
      <c r="G78" s="5" t="e">
        <f>#REF!</f>
        <v>#REF!</v>
      </c>
      <c r="H78" s="5">
        <f t="shared" si="9"/>
        <v>5000</v>
      </c>
      <c r="I78" s="9">
        <f t="shared" si="10"/>
        <v>7500</v>
      </c>
      <c r="J78" s="5"/>
      <c r="K78" s="5"/>
      <c r="L78" s="5"/>
      <c r="M78" s="5"/>
      <c r="N78" s="5"/>
      <c r="O78" s="5"/>
      <c r="P78" s="5"/>
      <c r="Q78" s="5"/>
      <c r="R78" s="4"/>
      <c r="S78" s="4"/>
      <c r="T78" s="4"/>
      <c r="U78" s="4"/>
      <c r="V78" s="4"/>
      <c r="W78" s="4"/>
      <c r="X78" s="4"/>
      <c r="Y78" s="4"/>
      <c r="Z78" s="4"/>
    </row>
    <row r="79" spans="1:26" ht="15" x14ac:dyDescent="0.25">
      <c r="A79" s="4"/>
      <c r="B79" s="4" t="s">
        <v>54</v>
      </c>
      <c r="C79" s="5">
        <v>4000</v>
      </c>
      <c r="D79" s="9">
        <v>3000</v>
      </c>
      <c r="E79" s="9"/>
      <c r="F79" s="5"/>
      <c r="G79" s="5" t="e">
        <f>#REF!</f>
        <v>#REF!</v>
      </c>
      <c r="H79" s="5">
        <f t="shared" si="9"/>
        <v>4000</v>
      </c>
      <c r="I79" s="9">
        <f t="shared" si="10"/>
        <v>3000</v>
      </c>
      <c r="J79" s="5"/>
      <c r="K79" s="5"/>
      <c r="L79" s="5"/>
      <c r="M79" s="5"/>
      <c r="N79" s="5"/>
      <c r="O79" s="5"/>
      <c r="P79" s="5"/>
      <c r="Q79" s="5"/>
      <c r="R79" s="4"/>
      <c r="S79" s="4"/>
      <c r="T79" s="4"/>
      <c r="U79" s="4"/>
      <c r="V79" s="4"/>
      <c r="W79" s="4"/>
      <c r="X79" s="4"/>
      <c r="Y79" s="15"/>
      <c r="Z79" s="4"/>
    </row>
    <row r="80" spans="1:26" ht="15" x14ac:dyDescent="0.25">
      <c r="A80" s="4"/>
      <c r="B80" s="4" t="s">
        <v>55</v>
      </c>
      <c r="C80" s="5">
        <v>2000</v>
      </c>
      <c r="D80" s="9">
        <v>2000</v>
      </c>
      <c r="E80" s="9"/>
      <c r="F80" s="5"/>
      <c r="G80" s="5" t="e">
        <f>#REF!</f>
        <v>#REF!</v>
      </c>
      <c r="H80" s="5">
        <f t="shared" si="9"/>
        <v>2000</v>
      </c>
      <c r="I80" s="9">
        <f t="shared" si="10"/>
        <v>2000</v>
      </c>
      <c r="J80" s="5"/>
      <c r="K80" s="5"/>
      <c r="L80" s="5"/>
      <c r="M80" s="5"/>
      <c r="N80" s="5"/>
      <c r="O80" s="5"/>
      <c r="P80" s="5"/>
      <c r="Q80" s="5"/>
      <c r="R80" s="4"/>
      <c r="S80" s="4"/>
      <c r="T80" s="4"/>
      <c r="U80" s="4"/>
      <c r="V80" s="4"/>
      <c r="W80" s="4"/>
      <c r="X80" s="4"/>
      <c r="Y80" s="15"/>
      <c r="Z80" s="4"/>
    </row>
    <row r="81" spans="1:26" ht="15" x14ac:dyDescent="0.25">
      <c r="A81" s="4"/>
      <c r="B81" s="4" t="s">
        <v>135</v>
      </c>
      <c r="C81" s="5">
        <v>3000</v>
      </c>
      <c r="D81" s="9">
        <v>14500</v>
      </c>
      <c r="E81" s="9"/>
      <c r="F81" s="5"/>
      <c r="G81" s="5" t="e">
        <f>#REF!</f>
        <v>#REF!</v>
      </c>
      <c r="H81" s="5">
        <f t="shared" si="9"/>
        <v>3000</v>
      </c>
      <c r="I81" s="9">
        <f t="shared" si="10"/>
        <v>14500</v>
      </c>
      <c r="J81" s="5"/>
      <c r="K81" s="5"/>
      <c r="L81" s="5"/>
      <c r="M81" s="5"/>
      <c r="N81" s="5"/>
      <c r="O81" s="5"/>
      <c r="P81" s="5"/>
      <c r="Q81" s="5"/>
      <c r="R81" s="4"/>
      <c r="S81" s="4"/>
      <c r="T81" s="4"/>
      <c r="U81" s="4"/>
      <c r="V81" s="4"/>
      <c r="W81" s="4"/>
      <c r="X81" s="4"/>
      <c r="Y81" s="4"/>
      <c r="Z81" s="4"/>
    </row>
    <row r="82" spans="1:26" ht="15" x14ac:dyDescent="0.25">
      <c r="A82" s="4"/>
      <c r="B82" s="4" t="s">
        <v>72</v>
      </c>
      <c r="C82" s="58">
        <v>-18000</v>
      </c>
      <c r="D82" s="56">
        <v>-25000</v>
      </c>
      <c r="E82" s="56"/>
      <c r="F82" s="58"/>
      <c r="G82" s="58" t="e">
        <f>#REF!</f>
        <v>#REF!</v>
      </c>
      <c r="H82" s="58">
        <f t="shared" si="9"/>
        <v>-18000</v>
      </c>
      <c r="I82" s="56">
        <f t="shared" si="10"/>
        <v>-25000</v>
      </c>
      <c r="J82" s="5"/>
      <c r="K82" s="5"/>
      <c r="L82" s="5"/>
      <c r="M82" s="5"/>
      <c r="N82" s="5"/>
      <c r="O82" s="5"/>
      <c r="P82" s="5"/>
      <c r="Q82" s="5"/>
      <c r="R82" s="4"/>
      <c r="S82" s="4"/>
      <c r="T82" s="4"/>
      <c r="U82" s="4"/>
      <c r="V82" s="4"/>
      <c r="W82" s="4"/>
      <c r="X82" s="4"/>
      <c r="Y82" s="4"/>
      <c r="Z82" s="4"/>
    </row>
    <row r="83" spans="1:26" ht="15" x14ac:dyDescent="0.25">
      <c r="A83" s="4"/>
      <c r="B83" s="4"/>
      <c r="C83" s="3"/>
      <c r="D83" s="18"/>
      <c r="E83" s="18"/>
      <c r="F83" s="3"/>
      <c r="G83" s="3"/>
      <c r="H83" s="3"/>
      <c r="I83" s="9"/>
      <c r="J83" s="5"/>
      <c r="K83" s="5"/>
      <c r="L83" s="5"/>
      <c r="M83" s="5"/>
      <c r="N83" s="5"/>
      <c r="O83" s="5"/>
      <c r="P83" s="5"/>
      <c r="Q83" s="5"/>
      <c r="R83" s="4"/>
      <c r="S83" s="4"/>
      <c r="T83" s="4"/>
      <c r="U83" s="4"/>
      <c r="V83" s="4"/>
      <c r="W83" s="4"/>
      <c r="X83" s="4"/>
      <c r="Y83" s="4"/>
      <c r="Z83" s="4"/>
    </row>
    <row r="84" spans="1:26" ht="15" x14ac:dyDescent="0.25">
      <c r="A84" s="4"/>
      <c r="B84" s="11" t="s">
        <v>56</v>
      </c>
      <c r="C84" s="5">
        <f t="shared" ref="C84:H84" si="11">SUM(C69:C83)</f>
        <v>16100</v>
      </c>
      <c r="D84" s="9">
        <f t="shared" si="11"/>
        <v>49100</v>
      </c>
      <c r="E84" s="9">
        <f t="shared" si="11"/>
        <v>0</v>
      </c>
      <c r="F84" s="5"/>
      <c r="G84" s="5" t="e">
        <f t="shared" si="11"/>
        <v>#REF!</v>
      </c>
      <c r="H84" s="5">
        <f t="shared" si="11"/>
        <v>16100</v>
      </c>
      <c r="I84" s="9">
        <f>SUM(I69:I82)</f>
        <v>49100</v>
      </c>
      <c r="J84" s="5" t="e">
        <f>(G84/12)</f>
        <v>#REF!</v>
      </c>
      <c r="K84" s="5"/>
      <c r="L84" s="5"/>
      <c r="M84" s="5"/>
      <c r="N84" s="5"/>
      <c r="O84" s="5"/>
      <c r="P84" s="5"/>
      <c r="Q84" s="5"/>
      <c r="R84" s="4"/>
      <c r="S84" s="4"/>
      <c r="T84" s="4"/>
      <c r="U84" s="4"/>
      <c r="V84" s="4"/>
      <c r="W84" s="4"/>
      <c r="X84" s="4"/>
      <c r="Y84" s="4"/>
      <c r="Z84" s="4"/>
    </row>
    <row r="85" spans="1:26" ht="15" x14ac:dyDescent="0.25">
      <c r="A85" s="4"/>
      <c r="B85" s="10" t="s">
        <v>69</v>
      </c>
      <c r="C85" s="5"/>
      <c r="D85" s="9"/>
      <c r="E85" s="9"/>
      <c r="F85" s="5"/>
      <c r="G85" s="5"/>
      <c r="H85" s="5"/>
      <c r="I85" s="9"/>
      <c r="J85" s="5"/>
      <c r="K85" s="5"/>
      <c r="L85" s="5"/>
      <c r="M85" s="5"/>
      <c r="N85" s="5"/>
      <c r="O85" s="5"/>
      <c r="P85" s="5"/>
      <c r="Q85" s="5"/>
      <c r="R85" s="4"/>
      <c r="S85" s="4"/>
      <c r="T85" s="4"/>
      <c r="U85" s="4"/>
      <c r="V85" s="4"/>
      <c r="W85" s="4"/>
      <c r="X85" s="4"/>
      <c r="Y85" s="4"/>
    </row>
    <row r="86" spans="1:26" ht="15" x14ac:dyDescent="0.25">
      <c r="A86" s="4"/>
      <c r="B86" s="103" t="s">
        <v>143</v>
      </c>
      <c r="C86" s="5"/>
      <c r="D86" s="9"/>
      <c r="E86" s="9"/>
      <c r="F86" s="5"/>
      <c r="G86" s="5"/>
      <c r="H86" s="5"/>
      <c r="I86" s="9"/>
      <c r="J86" s="5"/>
      <c r="K86" s="5"/>
      <c r="L86" s="5"/>
      <c r="M86" s="5"/>
      <c r="N86" s="5"/>
      <c r="O86" s="5"/>
      <c r="P86" s="5"/>
      <c r="Q86" s="5"/>
      <c r="R86" s="4"/>
      <c r="S86" s="4"/>
      <c r="T86" s="4"/>
      <c r="U86" s="4"/>
      <c r="V86" s="4"/>
      <c r="W86" s="4"/>
      <c r="X86" s="4"/>
      <c r="Y86" s="4"/>
      <c r="Z86" s="4"/>
    </row>
    <row r="87" spans="1:26" ht="15" x14ac:dyDescent="0.25">
      <c r="A87" s="4"/>
      <c r="B87" s="11" t="s">
        <v>70</v>
      </c>
      <c r="C87" s="5">
        <f>SUM(C20+C37+C48+C56+C66+C84)</f>
        <v>789254</v>
      </c>
      <c r="D87" s="9">
        <f>SUM(D20+D37+D48+D56+D66+D84)</f>
        <v>821772</v>
      </c>
      <c r="E87" s="5">
        <f>SUM(E20+E37+E48+E56+E66+E84)</f>
        <v>903425</v>
      </c>
      <c r="F87" s="9">
        <f>F48+F56+F66</f>
        <v>1144555</v>
      </c>
      <c r="G87" s="5" t="e">
        <f>SUM(G20+G37+G48+G56+G66+G84)</f>
        <v>#REF!</v>
      </c>
      <c r="H87" s="5">
        <f>SUM(H20+H37+H48+H56+H66+H84)</f>
        <v>1692679</v>
      </c>
      <c r="I87" s="9">
        <f>I20+I37+I48+I56+I66+I84</f>
        <v>1966327</v>
      </c>
      <c r="J87" s="5" t="e">
        <f>(G87/12)</f>
        <v>#REF!</v>
      </c>
      <c r="K87" s="5"/>
      <c r="L87" s="5"/>
      <c r="M87" s="5"/>
      <c r="N87" s="5"/>
      <c r="O87" s="5"/>
      <c r="P87" s="5"/>
      <c r="Q87" s="5"/>
      <c r="R87" s="4"/>
      <c r="S87" s="4"/>
      <c r="T87" s="4"/>
      <c r="U87" s="4"/>
      <c r="V87" s="4"/>
      <c r="W87" s="4"/>
      <c r="X87" s="4"/>
      <c r="Y87" s="5"/>
      <c r="Z87" s="4"/>
    </row>
    <row r="88" spans="1:26" ht="15" x14ac:dyDescent="0.25">
      <c r="A88" s="4"/>
      <c r="B88" s="4" t="s">
        <v>187</v>
      </c>
      <c r="C88" s="5"/>
      <c r="D88" s="9"/>
      <c r="E88" s="9"/>
      <c r="F88" s="5"/>
      <c r="G88" s="5"/>
      <c r="H88" s="5">
        <v>207500</v>
      </c>
      <c r="I88" s="9"/>
      <c r="J88" s="5"/>
      <c r="K88" s="5"/>
      <c r="L88" s="5"/>
      <c r="M88" s="5"/>
      <c r="N88" s="5"/>
      <c r="O88" s="5"/>
      <c r="P88" s="5"/>
      <c r="Q88" s="5"/>
      <c r="R88" s="4"/>
      <c r="S88" s="4"/>
      <c r="T88" s="4"/>
      <c r="U88" s="4"/>
      <c r="V88" s="4"/>
      <c r="W88" s="4"/>
      <c r="X88" s="4"/>
      <c r="Y88" s="4"/>
      <c r="Z88" s="4"/>
    </row>
    <row r="89" spans="1:26" ht="15" x14ac:dyDescent="0.25">
      <c r="A89" s="4"/>
      <c r="B89" s="4" t="s">
        <v>116</v>
      </c>
      <c r="C89" s="5"/>
      <c r="D89" s="9"/>
      <c r="E89" s="9"/>
      <c r="F89" s="5"/>
      <c r="G89" s="5"/>
      <c r="H89" s="5">
        <v>1900179</v>
      </c>
      <c r="I89" s="9"/>
      <c r="J89" s="5"/>
      <c r="K89" s="5"/>
      <c r="L89" s="5"/>
      <c r="M89" s="5"/>
      <c r="N89" s="5"/>
      <c r="O89" s="5"/>
      <c r="P89" s="5"/>
      <c r="Q89" s="5"/>
      <c r="R89" s="4"/>
      <c r="S89" s="4"/>
      <c r="T89" s="4"/>
      <c r="U89" s="4"/>
      <c r="V89" s="4"/>
      <c r="W89" s="4"/>
      <c r="X89" s="4"/>
      <c r="Y89" s="4"/>
      <c r="Z89" s="4"/>
    </row>
    <row r="90" spans="1:26" ht="15" x14ac:dyDescent="0.25">
      <c r="A90" s="4"/>
      <c r="B90" s="11" t="s">
        <v>57</v>
      </c>
      <c r="C90" s="7">
        <v>2024</v>
      </c>
      <c r="D90" s="16">
        <v>2025</v>
      </c>
      <c r="E90" s="9"/>
      <c r="F90" s="5"/>
      <c r="G90" s="5"/>
      <c r="H90" s="5"/>
      <c r="I90" s="9"/>
      <c r="J90" s="5"/>
      <c r="K90" s="5"/>
      <c r="L90" s="5"/>
      <c r="M90" s="5"/>
      <c r="N90" s="5"/>
      <c r="O90" s="5"/>
      <c r="P90" s="5"/>
      <c r="Q90" s="5"/>
      <c r="R90" s="4"/>
      <c r="S90" s="4"/>
      <c r="T90" s="4"/>
      <c r="U90" s="4"/>
      <c r="V90" s="4"/>
      <c r="W90" s="4"/>
      <c r="X90" s="4"/>
      <c r="Y90" s="4"/>
      <c r="Z90" s="4"/>
    </row>
    <row r="91" spans="1:26" ht="15" x14ac:dyDescent="0.25">
      <c r="A91" s="4"/>
      <c r="B91" s="4"/>
      <c r="C91" s="3"/>
      <c r="D91" s="9"/>
      <c r="E91" s="9"/>
      <c r="F91" s="5"/>
      <c r="G91" s="5"/>
      <c r="H91" s="5"/>
      <c r="I91" s="9"/>
      <c r="J91" s="5"/>
      <c r="K91" s="5"/>
      <c r="L91" s="5"/>
      <c r="M91" s="5"/>
      <c r="N91" s="5"/>
      <c r="O91" s="5"/>
      <c r="P91" s="5"/>
      <c r="Q91" s="5"/>
      <c r="R91" s="4"/>
      <c r="S91" s="4"/>
      <c r="T91" s="4"/>
      <c r="U91" s="4"/>
      <c r="V91" s="4"/>
      <c r="W91" s="4"/>
      <c r="X91" s="4"/>
      <c r="Y91" s="4"/>
      <c r="Z91" s="4"/>
    </row>
    <row r="92" spans="1:26" ht="15" x14ac:dyDescent="0.25">
      <c r="A92" s="4"/>
      <c r="B92" s="4" t="s">
        <v>58</v>
      </c>
      <c r="C92" s="5">
        <f>C87/166</f>
        <v>4754.5421686746986</v>
      </c>
      <c r="D92" s="9">
        <f>D87/166</f>
        <v>4950.4337349397592</v>
      </c>
      <c r="E92" s="9"/>
      <c r="F92" s="5"/>
      <c r="G92" s="5"/>
      <c r="H92" s="5"/>
      <c r="I92" s="9"/>
      <c r="J92" s="5"/>
      <c r="K92" s="5"/>
      <c r="L92" s="5"/>
      <c r="M92" s="5"/>
      <c r="N92" s="5"/>
      <c r="O92" s="5"/>
      <c r="P92" s="5"/>
      <c r="Q92" s="5"/>
      <c r="R92" s="4"/>
      <c r="S92" s="4"/>
      <c r="T92" s="4"/>
      <c r="U92" s="4"/>
      <c r="V92" s="4"/>
      <c r="W92" s="4"/>
      <c r="X92" s="4"/>
      <c r="Y92" s="4"/>
      <c r="Z92" s="4"/>
    </row>
    <row r="93" spans="1:26" ht="15" x14ac:dyDescent="0.25">
      <c r="A93" s="4"/>
      <c r="B93" s="4" t="s">
        <v>59</v>
      </c>
      <c r="C93" s="5">
        <f>(C92/4)</f>
        <v>1188.6355421686746</v>
      </c>
      <c r="D93" s="9">
        <f>D92/4</f>
        <v>1237.6084337349398</v>
      </c>
      <c r="E93" s="9"/>
      <c r="F93" s="5"/>
      <c r="G93" s="5"/>
      <c r="H93" s="5"/>
      <c r="I93" s="9"/>
      <c r="J93" s="5"/>
      <c r="K93" s="5"/>
      <c r="L93" s="5"/>
      <c r="M93" s="5"/>
      <c r="N93" s="5"/>
      <c r="O93" s="5"/>
      <c r="P93" s="5"/>
      <c r="Q93" s="5"/>
      <c r="R93" s="4"/>
      <c r="S93" s="4"/>
      <c r="T93" s="4"/>
      <c r="U93" s="4"/>
      <c r="V93" s="4"/>
      <c r="W93" s="4"/>
      <c r="X93" s="4"/>
      <c r="Y93" s="4"/>
      <c r="Z93" s="4"/>
    </row>
    <row r="94" spans="1:26" ht="15" x14ac:dyDescent="0.25">
      <c r="A94" s="4"/>
      <c r="B94" s="4"/>
      <c r="C94" s="5"/>
      <c r="D94" s="9"/>
      <c r="E94" s="9"/>
      <c r="F94" s="5"/>
      <c r="G94" s="5"/>
      <c r="H94" s="5"/>
      <c r="I94" s="9"/>
      <c r="J94" s="5"/>
      <c r="K94" s="5"/>
      <c r="L94" s="5"/>
      <c r="M94" s="5"/>
      <c r="N94" s="5"/>
      <c r="O94" s="5"/>
      <c r="P94" s="5"/>
      <c r="Q94" s="5"/>
      <c r="R94" s="4"/>
      <c r="S94" s="4"/>
      <c r="T94" s="4"/>
      <c r="U94" s="4"/>
      <c r="V94" s="4"/>
      <c r="W94" s="4"/>
      <c r="X94" s="4"/>
      <c r="Y94" s="4"/>
      <c r="Z94" s="4"/>
    </row>
    <row r="95" spans="1:26" ht="15" x14ac:dyDescent="0.25">
      <c r="A95" s="4"/>
      <c r="B95" s="4" t="s">
        <v>98</v>
      </c>
      <c r="C95" s="7">
        <v>2024</v>
      </c>
      <c r="D95" s="16">
        <v>2025</v>
      </c>
      <c r="E95" s="7">
        <v>2024</v>
      </c>
      <c r="F95" s="16">
        <v>2025</v>
      </c>
      <c r="G95" s="7">
        <v>2023</v>
      </c>
      <c r="H95" s="7">
        <v>2024</v>
      </c>
      <c r="I95" s="9">
        <v>2025</v>
      </c>
      <c r="J95" s="5"/>
      <c r="K95" s="5"/>
      <c r="L95" s="5"/>
      <c r="M95" s="5"/>
      <c r="N95" s="5"/>
      <c r="O95" s="5"/>
      <c r="P95" s="5"/>
      <c r="Q95" s="4"/>
      <c r="R95" s="4"/>
      <c r="S95" s="4"/>
      <c r="T95" s="4"/>
      <c r="U95" s="4"/>
      <c r="V95" s="4"/>
      <c r="W95" s="4"/>
      <c r="X95" s="4"/>
      <c r="Y95" s="4"/>
    </row>
    <row r="96" spans="1:26" ht="15" x14ac:dyDescent="0.25">
      <c r="A96" s="4"/>
      <c r="B96" s="4"/>
      <c r="C96" s="3"/>
      <c r="D96" s="18"/>
      <c r="E96" s="3"/>
      <c r="F96" s="3"/>
      <c r="G96" s="3"/>
      <c r="H96" s="3"/>
      <c r="I96" s="18"/>
      <c r="J96" s="3" t="s">
        <v>7</v>
      </c>
      <c r="K96" s="5"/>
      <c r="L96" s="5"/>
      <c r="M96" s="5"/>
      <c r="N96" s="5"/>
      <c r="O96" s="5"/>
      <c r="P96" s="5"/>
      <c r="Q96" s="5"/>
      <c r="R96" s="4"/>
      <c r="S96" s="4"/>
      <c r="T96" s="4"/>
      <c r="U96" s="4"/>
      <c r="V96" s="4"/>
      <c r="W96" s="4"/>
      <c r="X96" s="4"/>
      <c r="Y96" s="4"/>
      <c r="Z96" s="4"/>
    </row>
    <row r="97" spans="1:27" ht="15" x14ac:dyDescent="0.25">
      <c r="A97" s="4"/>
      <c r="B97" s="4" t="s">
        <v>60</v>
      </c>
      <c r="C97" s="5">
        <f>C87/166*20</f>
        <v>95090.843373493975</v>
      </c>
      <c r="D97" s="9">
        <f>D87/166*20</f>
        <v>99008.674698795192</v>
      </c>
      <c r="E97" s="81">
        <f>'Bldg 1'!C23</f>
        <v>25593</v>
      </c>
      <c r="F97" s="9">
        <f>'Bldg 1'!D23</f>
        <v>146555.46835443037</v>
      </c>
      <c r="G97" s="5">
        <v>172517</v>
      </c>
      <c r="H97" s="5">
        <f t="shared" ref="H97:I104" si="12">SUM(C97+E97)</f>
        <v>120683.84337349398</v>
      </c>
      <c r="I97" s="9">
        <f t="shared" si="12"/>
        <v>245564.14305322556</v>
      </c>
      <c r="J97" s="5"/>
      <c r="K97" s="5"/>
      <c r="L97" s="5"/>
      <c r="M97" s="5"/>
      <c r="N97" s="5"/>
      <c r="O97" s="5"/>
      <c r="P97" s="5"/>
      <c r="Q97" s="5"/>
      <c r="R97" s="4"/>
      <c r="S97" s="4"/>
      <c r="T97" s="4"/>
      <c r="U97" s="4"/>
      <c r="V97" s="4"/>
      <c r="W97" s="4"/>
      <c r="X97" s="4"/>
      <c r="Y97" s="4"/>
      <c r="Z97" s="4"/>
    </row>
    <row r="98" spans="1:27" ht="15" x14ac:dyDescent="0.25">
      <c r="A98" s="4"/>
      <c r="B98" s="4" t="s">
        <v>61</v>
      </c>
      <c r="C98" s="5">
        <f>C87/166*22</f>
        <v>104599.92771084337</v>
      </c>
      <c r="D98" s="9">
        <f>D87/166*22</f>
        <v>108909.5421686747</v>
      </c>
      <c r="E98" s="5">
        <f>'Bldg 2'!C23</f>
        <v>27063</v>
      </c>
      <c r="F98" s="9">
        <f>'Bldg 2'!D23</f>
        <v>157843.21518987342</v>
      </c>
      <c r="G98" s="5" t="e">
        <f>'Bldg 2'!#REF!</f>
        <v>#REF!</v>
      </c>
      <c r="H98" s="5">
        <f t="shared" si="12"/>
        <v>131662.92771084339</v>
      </c>
      <c r="I98" s="9">
        <f t="shared" si="12"/>
        <v>266752.75735854812</v>
      </c>
      <c r="J98" s="5"/>
      <c r="K98" s="5"/>
      <c r="L98" s="5"/>
      <c r="M98" s="5"/>
      <c r="N98" s="5"/>
      <c r="O98" s="5"/>
      <c r="P98" s="5"/>
      <c r="Q98" s="5"/>
      <c r="R98" s="4"/>
      <c r="S98" s="4"/>
      <c r="T98" s="4"/>
      <c r="U98" s="4"/>
      <c r="V98" s="4"/>
      <c r="W98" s="4"/>
      <c r="X98" s="4"/>
      <c r="Y98" s="4"/>
      <c r="Z98" s="4"/>
    </row>
    <row r="99" spans="1:27" ht="15" x14ac:dyDescent="0.25">
      <c r="A99" s="4"/>
      <c r="B99" s="4" t="s">
        <v>62</v>
      </c>
      <c r="C99" s="5">
        <f>C87/166*22</f>
        <v>104599.92771084337</v>
      </c>
      <c r="D99" s="9">
        <f>D87/166*22</f>
        <v>108909.5421686747</v>
      </c>
      <c r="E99" s="5">
        <f>'Bldg 3'!C23</f>
        <v>27063</v>
      </c>
      <c r="F99" s="9">
        <f>'Bldg 3'!D23</f>
        <v>157843.21518987342</v>
      </c>
      <c r="G99" s="5" t="e">
        <f>'Bldg 3'!#REF!</f>
        <v>#REF!</v>
      </c>
      <c r="H99" s="5">
        <f t="shared" si="12"/>
        <v>131662.92771084339</v>
      </c>
      <c r="I99" s="9">
        <f t="shared" si="12"/>
        <v>266752.75735854812</v>
      </c>
      <c r="J99" s="5"/>
      <c r="K99" s="5"/>
      <c r="L99" s="5"/>
      <c r="M99" s="5"/>
      <c r="N99" s="5"/>
      <c r="O99" s="5"/>
      <c r="P99" s="5"/>
      <c r="Q99" s="5"/>
      <c r="R99" s="4"/>
      <c r="S99" s="4"/>
      <c r="T99" s="4"/>
      <c r="U99" s="4"/>
      <c r="V99" s="4"/>
      <c r="W99" s="4"/>
      <c r="X99" s="4"/>
      <c r="Y99" s="4"/>
      <c r="Z99" s="4"/>
    </row>
    <row r="100" spans="1:27" ht="15" x14ac:dyDescent="0.25">
      <c r="A100" s="4"/>
      <c r="B100" s="4" t="s">
        <v>63</v>
      </c>
      <c r="C100" s="5">
        <f>C87/166*32</f>
        <v>152145.34939759035</v>
      </c>
      <c r="D100" s="9">
        <f>D87/166*32</f>
        <v>158413.8795180723</v>
      </c>
      <c r="E100" s="5">
        <f>'Bldg 4'!C23</f>
        <v>35613</v>
      </c>
      <c r="F100" s="9">
        <f>'Bldg 4'!D23</f>
        <v>220550.94936708861</v>
      </c>
      <c r="G100" s="5" t="e">
        <f>'Bldg 4'!#REF!</f>
        <v>#REF!</v>
      </c>
      <c r="H100" s="5">
        <f t="shared" si="12"/>
        <v>187758.34939759035</v>
      </c>
      <c r="I100" s="9">
        <f t="shared" si="12"/>
        <v>378964.82888516091</v>
      </c>
      <c r="J100" s="5"/>
      <c r="K100" s="5"/>
      <c r="L100" s="5"/>
      <c r="M100" s="5"/>
      <c r="N100" s="5"/>
      <c r="O100" s="5"/>
      <c r="P100" s="5"/>
      <c r="Q100" s="5"/>
      <c r="R100" s="4"/>
      <c r="S100" s="4"/>
      <c r="T100" s="4"/>
      <c r="U100" s="4"/>
      <c r="V100" s="4"/>
      <c r="W100" s="4"/>
      <c r="X100" s="4"/>
      <c r="Y100" s="4"/>
      <c r="Z100" s="4"/>
    </row>
    <row r="101" spans="1:27" ht="15" x14ac:dyDescent="0.25">
      <c r="A101" s="4"/>
      <c r="B101" s="4" t="s">
        <v>64</v>
      </c>
      <c r="C101" s="5">
        <f>C87/166*32</f>
        <v>152145.34939759035</v>
      </c>
      <c r="D101" s="9">
        <f>D87/166*32</f>
        <v>158413.8795180723</v>
      </c>
      <c r="E101" s="5">
        <f>'Bldg 5'!C23</f>
        <v>35613</v>
      </c>
      <c r="F101" s="9">
        <f>'Bldg 5'!D23</f>
        <v>220550.94936708861</v>
      </c>
      <c r="G101" s="5" t="e">
        <f>'Bldg 5'!#REF!</f>
        <v>#REF!</v>
      </c>
      <c r="H101" s="5">
        <f t="shared" si="12"/>
        <v>187758.34939759035</v>
      </c>
      <c r="I101" s="9">
        <f t="shared" si="12"/>
        <v>378964.82888516091</v>
      </c>
      <c r="J101" s="5"/>
      <c r="K101" s="5"/>
      <c r="L101" s="5"/>
      <c r="M101" s="5"/>
      <c r="N101" s="5"/>
      <c r="O101" s="5"/>
      <c r="P101" s="5"/>
      <c r="Q101" s="5"/>
      <c r="R101" s="4"/>
      <c r="S101" s="4"/>
      <c r="T101" s="4"/>
      <c r="U101" s="4"/>
      <c r="V101" s="4"/>
      <c r="W101" s="4"/>
      <c r="X101" s="4"/>
      <c r="Y101" s="4"/>
      <c r="Z101" s="4"/>
    </row>
    <row r="102" spans="1:27" ht="15" x14ac:dyDescent="0.25">
      <c r="A102" s="4"/>
      <c r="B102" s="4" t="s">
        <v>65</v>
      </c>
      <c r="C102" s="5">
        <f>C87/166*30</f>
        <v>142636.26506024096</v>
      </c>
      <c r="D102" s="9">
        <f>D87/166*30</f>
        <v>148513.01204819279</v>
      </c>
      <c r="E102" s="5">
        <f>Gulf!C23</f>
        <v>36625</v>
      </c>
      <c r="F102" s="9">
        <f>Gulf!D23</f>
        <v>186843.20253164557</v>
      </c>
      <c r="G102" s="5" t="e">
        <f>Gulf!#REF!</f>
        <v>#REF!</v>
      </c>
      <c r="H102" s="5">
        <f t="shared" si="12"/>
        <v>179261.26506024096</v>
      </c>
      <c r="I102" s="9">
        <f t="shared" si="12"/>
        <v>335356.21457983833</v>
      </c>
      <c r="J102" s="5"/>
      <c r="K102" s="5"/>
      <c r="L102" s="5"/>
      <c r="M102" s="5"/>
      <c r="N102" s="5"/>
      <c r="O102" s="5"/>
      <c r="P102" s="5"/>
      <c r="Q102" s="5"/>
      <c r="R102" s="4"/>
      <c r="S102" s="4"/>
      <c r="T102" s="4"/>
      <c r="U102" s="4"/>
      <c r="V102" s="4"/>
      <c r="W102" s="4"/>
      <c r="X102" s="4"/>
      <c r="Y102" s="4"/>
      <c r="Z102" s="4"/>
    </row>
    <row r="103" spans="1:27" ht="15" x14ac:dyDescent="0.25">
      <c r="A103" s="4"/>
      <c r="B103" s="4" t="s">
        <v>66</v>
      </c>
      <c r="C103" s="5">
        <f>C87/166*4</f>
        <v>19018.168674698794</v>
      </c>
      <c r="D103" s="9">
        <f>D87/166*4</f>
        <v>19801.734939759037</v>
      </c>
      <c r="E103" s="5">
        <f>NV!C21</f>
        <v>3500</v>
      </c>
      <c r="F103" s="9">
        <f>NV!D21</f>
        <v>27184</v>
      </c>
      <c r="G103" s="5" t="e">
        <f>NV!#REF!</f>
        <v>#REF!</v>
      </c>
      <c r="H103" s="5">
        <f t="shared" si="12"/>
        <v>22518.168674698794</v>
      </c>
      <c r="I103" s="9">
        <f t="shared" si="12"/>
        <v>46985.734939759037</v>
      </c>
      <c r="J103" s="5"/>
      <c r="K103" s="5"/>
      <c r="L103" s="5"/>
      <c r="M103" s="5"/>
      <c r="N103" s="5"/>
      <c r="O103" s="5"/>
      <c r="P103" s="5"/>
      <c r="Q103" s="5"/>
      <c r="R103" s="4"/>
      <c r="S103" s="4"/>
      <c r="T103" s="4"/>
      <c r="U103" s="4"/>
      <c r="V103" s="4"/>
      <c r="W103" s="4"/>
      <c r="X103" s="4"/>
      <c r="Y103" s="4"/>
      <c r="Z103" s="4"/>
    </row>
    <row r="104" spans="1:27" ht="15" x14ac:dyDescent="0.25">
      <c r="A104" s="4"/>
      <c r="B104" s="4" t="s">
        <v>67</v>
      </c>
      <c r="C104" s="58">
        <f>C87/166*4</f>
        <v>19018.168674698794</v>
      </c>
      <c r="D104" s="56">
        <f>D87/166*4</f>
        <v>19801.734939759037</v>
      </c>
      <c r="E104" s="58">
        <f>SV!C21</f>
        <v>3500</v>
      </c>
      <c r="F104" s="56">
        <f>SV!D21</f>
        <v>27184</v>
      </c>
      <c r="G104" s="60" t="e">
        <f>SV!#REF!</f>
        <v>#REF!</v>
      </c>
      <c r="H104" s="58">
        <f t="shared" si="12"/>
        <v>22518.168674698794</v>
      </c>
      <c r="I104" s="56">
        <f t="shared" si="12"/>
        <v>46985.734939759037</v>
      </c>
      <c r="J104" s="5"/>
      <c r="K104" s="5"/>
      <c r="L104" s="5"/>
      <c r="M104" s="5"/>
      <c r="N104" s="5"/>
      <c r="O104" s="5"/>
      <c r="P104" s="5"/>
      <c r="Q104" s="5"/>
      <c r="R104" s="4"/>
      <c r="S104" s="4"/>
      <c r="T104" s="4"/>
      <c r="U104" s="4"/>
      <c r="V104" s="4"/>
      <c r="W104" s="4"/>
      <c r="X104" s="4"/>
      <c r="Y104" s="4"/>
      <c r="Z104" s="4"/>
    </row>
    <row r="105" spans="1:27" ht="15" x14ac:dyDescent="0.25">
      <c r="A105" s="4"/>
      <c r="B105" s="4"/>
      <c r="C105" s="3"/>
      <c r="D105" s="18"/>
      <c r="E105" s="3"/>
      <c r="F105" s="18"/>
      <c r="G105" s="3"/>
      <c r="H105" s="3"/>
      <c r="I105" s="5"/>
      <c r="J105" s="5"/>
      <c r="K105" s="5"/>
      <c r="L105" s="5"/>
      <c r="M105" s="5"/>
      <c r="N105" s="5"/>
      <c r="O105" s="5"/>
      <c r="P105" s="5"/>
      <c r="Q105" s="5"/>
      <c r="R105" s="4"/>
      <c r="S105" s="4"/>
      <c r="T105" s="4"/>
      <c r="U105" s="4"/>
      <c r="V105" s="4"/>
      <c r="W105" s="4"/>
      <c r="X105" s="4"/>
      <c r="Y105" s="4"/>
      <c r="Z105" s="5"/>
    </row>
    <row r="106" spans="1:27" ht="15" x14ac:dyDescent="0.25">
      <c r="A106" s="4"/>
      <c r="B106" s="55"/>
      <c r="C106" s="5">
        <f t="shared" ref="C106:G106" si="13">SUM(C97:C104)</f>
        <v>789254</v>
      </c>
      <c r="D106" s="9">
        <f t="shared" si="13"/>
        <v>821772</v>
      </c>
      <c r="E106" s="5">
        <f t="shared" si="13"/>
        <v>194570</v>
      </c>
      <c r="F106" s="9">
        <f t="shared" si="13"/>
        <v>1144555</v>
      </c>
      <c r="G106" s="5" t="e">
        <f t="shared" si="13"/>
        <v>#REF!</v>
      </c>
      <c r="H106" s="5">
        <v>983824</v>
      </c>
      <c r="I106" s="9">
        <f>SUM(D106+F106)</f>
        <v>1966327</v>
      </c>
      <c r="J106" s="5"/>
      <c r="K106" s="5"/>
      <c r="L106" s="5"/>
      <c r="M106" s="5"/>
      <c r="N106" s="5"/>
      <c r="O106" s="5"/>
      <c r="P106" s="5"/>
      <c r="Q106" s="5"/>
      <c r="R106" s="4"/>
      <c r="S106" s="4"/>
      <c r="T106" s="4"/>
      <c r="U106" s="4"/>
      <c r="V106" s="4"/>
      <c r="W106" s="4"/>
      <c r="X106" s="4"/>
      <c r="Y106" s="4"/>
      <c r="Z106" s="4"/>
    </row>
    <row r="107" spans="1:27" s="23" customFormat="1" x14ac:dyDescent="0.3">
      <c r="A107" s="11"/>
      <c r="B107" s="11" t="s">
        <v>122</v>
      </c>
      <c r="C107" s="9"/>
      <c r="D107" s="9"/>
      <c r="E107" s="5">
        <v>708855</v>
      </c>
      <c r="F107" s="9"/>
      <c r="G107" s="9"/>
      <c r="H107" s="5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1"/>
      <c r="T107" s="11"/>
      <c r="U107" s="11"/>
      <c r="V107" s="11"/>
      <c r="W107" s="11"/>
      <c r="X107" s="11"/>
      <c r="Y107" s="11"/>
      <c r="Z107" s="11"/>
    </row>
    <row r="108" spans="1:27" ht="15" x14ac:dyDescent="0.25">
      <c r="A108" s="4"/>
      <c r="B108" s="11"/>
      <c r="C108" s="5"/>
      <c r="D108" s="5"/>
      <c r="E108" s="5"/>
      <c r="F108" s="9"/>
      <c r="G108" s="5"/>
      <c r="H108" s="5">
        <v>1692679</v>
      </c>
      <c r="I108" s="9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4"/>
      <c r="U108" s="4"/>
      <c r="V108" s="4"/>
      <c r="W108" s="4"/>
      <c r="X108" s="4"/>
      <c r="Y108" s="4"/>
      <c r="Z108" s="4"/>
      <c r="AA108" s="4"/>
    </row>
    <row r="109" spans="1:27" ht="15" x14ac:dyDescent="0.25">
      <c r="A109" s="4"/>
      <c r="B109" s="4" t="s">
        <v>187</v>
      </c>
      <c r="C109" s="5"/>
      <c r="D109" s="5"/>
      <c r="E109" s="5"/>
      <c r="F109" s="5"/>
      <c r="G109" s="5"/>
      <c r="H109" s="5">
        <v>207500</v>
      </c>
      <c r="I109" s="9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4"/>
      <c r="U109" s="4"/>
      <c r="V109" s="4"/>
      <c r="W109" s="4"/>
      <c r="X109" s="4"/>
      <c r="Y109" s="4"/>
      <c r="Z109" s="4"/>
      <c r="AA109" s="4"/>
    </row>
    <row r="110" spans="1:27" ht="15" x14ac:dyDescent="0.25">
      <c r="A110" s="4"/>
      <c r="B110" s="4" t="s">
        <v>116</v>
      </c>
      <c r="C110" s="5"/>
      <c r="D110" s="5"/>
      <c r="E110" s="5"/>
      <c r="F110" s="5"/>
      <c r="G110" s="5"/>
      <c r="H110" s="5">
        <v>1900179</v>
      </c>
      <c r="I110" s="9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4"/>
      <c r="U110" s="4"/>
      <c r="V110" s="4"/>
      <c r="W110" s="4"/>
      <c r="X110" s="4"/>
      <c r="Y110" s="4"/>
      <c r="Z110" s="4"/>
      <c r="AA110" s="4"/>
    </row>
    <row r="111" spans="1:27" ht="15" x14ac:dyDescent="0.25">
      <c r="B111" s="4"/>
      <c r="C111" s="5"/>
      <c r="D111" s="5"/>
      <c r="E111" s="5"/>
      <c r="F111" s="5"/>
      <c r="G111" s="5"/>
      <c r="H111" s="5"/>
      <c r="I111" s="9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27" ht="15" x14ac:dyDescent="0.25">
      <c r="B112" s="4"/>
      <c r="C112" s="5"/>
      <c r="D112" s="5"/>
      <c r="E112" s="5"/>
      <c r="F112" s="5"/>
      <c r="G112" s="5"/>
      <c r="H112" s="5"/>
      <c r="I112" s="9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2:19" ht="15" x14ac:dyDescent="0.25">
      <c r="B113" s="4"/>
      <c r="C113" s="5"/>
      <c r="D113" s="5"/>
      <c r="E113" s="5"/>
      <c r="F113" s="5"/>
      <c r="G113" s="5"/>
      <c r="H113" s="5"/>
      <c r="I113" s="9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2:19" ht="15" x14ac:dyDescent="0.25">
      <c r="B114" s="4"/>
      <c r="C114" s="5"/>
      <c r="D114" s="5"/>
      <c r="E114" s="5"/>
      <c r="F114" s="5"/>
      <c r="G114" s="5"/>
      <c r="H114" s="5"/>
      <c r="I114" s="9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2:19" ht="15" x14ac:dyDescent="0.25">
      <c r="B115" s="4"/>
      <c r="C115" s="5"/>
      <c r="D115" s="5"/>
      <c r="E115" s="5"/>
      <c r="F115" s="5"/>
      <c r="G115" s="5"/>
      <c r="H115" s="5"/>
      <c r="I115" s="9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2:19" ht="15" x14ac:dyDescent="0.25">
      <c r="B116" s="4"/>
      <c r="C116" s="5"/>
      <c r="D116" s="5"/>
      <c r="E116" s="5"/>
      <c r="F116" s="5"/>
      <c r="G116" s="5"/>
      <c r="H116" s="5"/>
      <c r="I116" s="9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2:19" ht="15" x14ac:dyDescent="0.25">
      <c r="B117" s="4"/>
      <c r="C117" s="5"/>
      <c r="D117" s="5"/>
      <c r="E117" s="5"/>
      <c r="F117" s="5"/>
      <c r="G117" s="5"/>
      <c r="H117" s="5"/>
      <c r="I117" s="9"/>
      <c r="J117" s="2"/>
      <c r="K117" s="17"/>
      <c r="L117" s="2"/>
      <c r="M117" s="2"/>
      <c r="N117" s="2"/>
      <c r="O117" s="2"/>
      <c r="P117" s="2"/>
      <c r="Q117" s="2"/>
      <c r="R117" s="2"/>
      <c r="S117" s="2"/>
    </row>
    <row r="118" spans="2:19" ht="15" x14ac:dyDescent="0.25">
      <c r="B118" s="4"/>
      <c r="C118" s="5"/>
      <c r="D118" s="5"/>
      <c r="E118" s="5"/>
      <c r="F118" s="5"/>
      <c r="G118" s="5"/>
      <c r="H118" s="5"/>
      <c r="I118" s="9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2:19" ht="15" x14ac:dyDescent="0.25">
      <c r="B119" s="4"/>
      <c r="C119" s="5"/>
      <c r="D119" s="5"/>
      <c r="E119" s="5"/>
      <c r="F119" s="5"/>
      <c r="G119" s="5"/>
      <c r="H119" s="5"/>
      <c r="I119" s="9"/>
      <c r="J119" s="2"/>
      <c r="K119" s="17"/>
      <c r="L119" s="2"/>
      <c r="M119" s="2"/>
      <c r="N119" s="2"/>
      <c r="O119" s="2"/>
      <c r="P119" s="2"/>
      <c r="Q119" s="2"/>
      <c r="R119" s="2"/>
      <c r="S119" s="2"/>
    </row>
    <row r="120" spans="2:19" ht="15" x14ac:dyDescent="0.25">
      <c r="B120" s="4"/>
      <c r="C120" s="5"/>
      <c r="D120" s="5"/>
      <c r="E120" s="5"/>
      <c r="F120" s="5"/>
      <c r="G120" s="5"/>
      <c r="H120" s="5"/>
      <c r="I120" s="9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2:19" ht="15" x14ac:dyDescent="0.25">
      <c r="B121" s="4"/>
      <c r="C121" s="5"/>
      <c r="D121" s="5"/>
      <c r="E121" s="5"/>
      <c r="F121" s="5"/>
      <c r="G121" s="5"/>
      <c r="H121" s="5"/>
      <c r="I121" s="9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2:19" ht="15" x14ac:dyDescent="0.25">
      <c r="B122" s="4"/>
      <c r="C122" s="5"/>
      <c r="D122" s="5"/>
      <c r="E122" s="5"/>
      <c r="F122" s="5"/>
      <c r="G122" s="5"/>
      <c r="H122" s="5"/>
      <c r="I122" s="9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2:19" ht="15" x14ac:dyDescent="0.25">
      <c r="B123" s="5"/>
      <c r="C123" s="5"/>
      <c r="D123" s="5"/>
      <c r="E123" s="5"/>
      <c r="F123" s="5"/>
      <c r="G123" s="5"/>
      <c r="H123" s="5"/>
      <c r="I123" s="9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2:19" ht="15" x14ac:dyDescent="0.25">
      <c r="B124" s="5"/>
      <c r="C124" s="5"/>
      <c r="D124" s="5"/>
      <c r="E124" s="5"/>
      <c r="F124" s="5"/>
      <c r="G124" s="5"/>
      <c r="H124" s="5"/>
      <c r="I124" s="9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ht="15" x14ac:dyDescent="0.25">
      <c r="B125" s="5"/>
      <c r="C125" s="5"/>
      <c r="D125" s="5"/>
      <c r="E125" s="5"/>
      <c r="F125" s="5"/>
      <c r="G125" s="5"/>
      <c r="H125" s="5"/>
      <c r="I125" s="9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ht="15" x14ac:dyDescent="0.25">
      <c r="B126" s="5"/>
      <c r="C126" s="5"/>
      <c r="D126" s="5"/>
      <c r="E126" s="5"/>
      <c r="F126" s="5"/>
      <c r="G126" s="5"/>
      <c r="H126" s="5"/>
      <c r="I126" s="9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ht="15" x14ac:dyDescent="0.25">
      <c r="B127" s="5"/>
      <c r="C127" s="5"/>
      <c r="D127" s="5"/>
      <c r="E127" s="5"/>
      <c r="F127" s="5"/>
      <c r="G127" s="5"/>
      <c r="H127" s="5"/>
      <c r="I127" s="9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2:19" ht="15" x14ac:dyDescent="0.25">
      <c r="B128" s="5"/>
      <c r="C128" s="5"/>
      <c r="D128" s="5"/>
      <c r="E128" s="5"/>
      <c r="F128" s="5"/>
      <c r="G128" s="5"/>
      <c r="H128" s="5"/>
      <c r="I128" s="9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2:19" ht="15" x14ac:dyDescent="0.25">
      <c r="B129" s="5"/>
      <c r="C129" s="5"/>
      <c r="D129" s="5"/>
      <c r="E129" s="5"/>
      <c r="F129" s="5"/>
      <c r="G129" s="5"/>
      <c r="H129" s="5"/>
      <c r="I129" s="9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2:19" ht="15" x14ac:dyDescent="0.25">
      <c r="B130" s="5"/>
      <c r="C130" s="5"/>
      <c r="D130" s="5"/>
      <c r="E130" s="5"/>
      <c r="F130" s="5"/>
      <c r="G130" s="5"/>
      <c r="H130" s="5"/>
      <c r="I130" s="9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2:19" ht="15" x14ac:dyDescent="0.25">
      <c r="B131" s="5"/>
      <c r="C131" s="5"/>
      <c r="D131" s="5"/>
      <c r="E131" s="5"/>
      <c r="F131" s="5"/>
      <c r="G131" s="5"/>
      <c r="H131" s="5"/>
      <c r="I131" s="9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2:19" ht="15" x14ac:dyDescent="0.25">
      <c r="B132" s="5"/>
      <c r="C132" s="5"/>
      <c r="D132" s="5"/>
      <c r="E132" s="5"/>
      <c r="F132" s="5"/>
      <c r="G132" s="5"/>
      <c r="H132" s="5"/>
      <c r="I132" s="9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2:19" ht="15" x14ac:dyDescent="0.25">
      <c r="B133" s="5"/>
      <c r="C133" s="5"/>
      <c r="D133" s="5"/>
      <c r="E133" s="3"/>
      <c r="F133" s="5"/>
      <c r="G133" s="5"/>
      <c r="H133" s="3"/>
      <c r="I133" s="18"/>
      <c r="J133" s="17"/>
      <c r="K133" s="2"/>
      <c r="L133" s="2"/>
      <c r="M133" s="2"/>
      <c r="N133" s="2"/>
      <c r="O133" s="2"/>
      <c r="P133" s="2"/>
      <c r="Q133" s="2"/>
      <c r="R133" s="2"/>
      <c r="S133" s="2"/>
    </row>
    <row r="134" spans="2:19" ht="15" x14ac:dyDescent="0.25">
      <c r="B134" s="5"/>
      <c r="C134" s="5"/>
      <c r="D134" s="5"/>
      <c r="E134" s="5"/>
      <c r="F134" s="5"/>
      <c r="G134" s="5"/>
      <c r="H134" s="5"/>
      <c r="I134" s="9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ht="15" x14ac:dyDescent="0.25">
      <c r="B135" s="5"/>
      <c r="C135" s="5"/>
      <c r="D135" s="5"/>
      <c r="E135" s="5"/>
      <c r="F135" s="5"/>
      <c r="G135" s="5"/>
      <c r="H135" s="5"/>
      <c r="I135" s="9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ht="15" x14ac:dyDescent="0.25">
      <c r="B136" s="5"/>
      <c r="C136" s="5"/>
      <c r="D136" s="5"/>
      <c r="E136" s="3"/>
      <c r="F136" s="5"/>
      <c r="G136" s="5"/>
      <c r="H136" s="3"/>
      <c r="I136" s="18"/>
      <c r="J136" s="17"/>
      <c r="K136" s="2"/>
      <c r="L136" s="2"/>
      <c r="M136" s="2"/>
      <c r="N136" s="2"/>
      <c r="O136" s="2"/>
      <c r="P136" s="2"/>
      <c r="Q136" s="2"/>
      <c r="R136" s="2"/>
      <c r="S136" s="2"/>
    </row>
    <row r="137" spans="2:19" ht="15" x14ac:dyDescent="0.25">
      <c r="B137" s="5"/>
      <c r="C137" s="5"/>
      <c r="D137" s="5"/>
      <c r="E137" s="5"/>
      <c r="F137" s="5"/>
      <c r="G137" s="5"/>
      <c r="H137" s="5"/>
      <c r="I137" s="9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2:19" ht="15" x14ac:dyDescent="0.25">
      <c r="B138" s="4"/>
      <c r="C138" s="5"/>
      <c r="D138" s="5"/>
      <c r="E138" s="5"/>
      <c r="F138" s="5"/>
      <c r="G138" s="5"/>
      <c r="H138" s="3"/>
      <c r="I138" s="18"/>
      <c r="J138" s="17"/>
      <c r="K138" s="2"/>
      <c r="L138" s="2"/>
      <c r="M138" s="2"/>
      <c r="N138" s="2"/>
      <c r="O138" s="2"/>
      <c r="P138" s="2"/>
      <c r="Q138" s="2"/>
      <c r="R138" s="2"/>
      <c r="S138" s="2"/>
    </row>
    <row r="139" spans="2:19" ht="15" x14ac:dyDescent="0.25">
      <c r="B139" s="4"/>
      <c r="C139" s="5"/>
      <c r="D139" s="5"/>
      <c r="E139" s="5"/>
      <c r="F139" s="5"/>
      <c r="G139" s="5"/>
      <c r="H139" s="5"/>
      <c r="I139" s="9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2:19" ht="15" x14ac:dyDescent="0.25">
      <c r="B140" s="4"/>
      <c r="C140" s="5"/>
      <c r="D140" s="5"/>
      <c r="E140" s="5"/>
      <c r="F140" s="5"/>
      <c r="G140" s="5"/>
      <c r="H140" s="5"/>
      <c r="I140" s="9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2:19" ht="15" x14ac:dyDescent="0.25">
      <c r="B141" s="4"/>
      <c r="C141" s="5"/>
      <c r="D141" s="5"/>
      <c r="E141" s="5"/>
      <c r="F141" s="5"/>
      <c r="G141" s="5"/>
      <c r="H141" s="5"/>
      <c r="I141" s="9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2:19" ht="15" x14ac:dyDescent="0.25">
      <c r="B142" s="4"/>
      <c r="C142" s="5"/>
      <c r="D142" s="5"/>
      <c r="E142" s="5"/>
      <c r="F142" s="5"/>
      <c r="G142" s="5"/>
      <c r="H142" s="5"/>
      <c r="I142" s="9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ht="15" x14ac:dyDescent="0.25">
      <c r="B143" s="4"/>
      <c r="C143" s="5"/>
      <c r="D143" s="5"/>
      <c r="E143" s="5"/>
      <c r="F143" s="5"/>
      <c r="G143" s="5"/>
      <c r="H143" s="5"/>
      <c r="I143" s="9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ht="15" x14ac:dyDescent="0.25">
      <c r="B144" s="4"/>
      <c r="C144" s="5"/>
      <c r="D144" s="5"/>
      <c r="E144" s="5"/>
      <c r="F144" s="5"/>
      <c r="G144" s="5"/>
      <c r="H144" s="5"/>
      <c r="I144" s="9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ht="15" x14ac:dyDescent="0.25">
      <c r="B145" s="4"/>
      <c r="C145" s="5"/>
      <c r="D145" s="5"/>
      <c r="E145" s="5"/>
      <c r="F145" s="5"/>
      <c r="G145" s="5"/>
      <c r="H145" s="5"/>
      <c r="I145" s="9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2:19" ht="15" x14ac:dyDescent="0.25">
      <c r="B146" s="4"/>
      <c r="C146" s="5"/>
      <c r="D146" s="5"/>
      <c r="E146" s="5"/>
      <c r="F146" s="5"/>
      <c r="G146" s="5"/>
      <c r="H146" s="5"/>
      <c r="I146" s="9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2:19" ht="15" x14ac:dyDescent="0.25">
      <c r="B147" s="4"/>
      <c r="C147" s="5"/>
      <c r="D147" s="5"/>
      <c r="E147" s="5"/>
      <c r="F147" s="5"/>
      <c r="G147" s="5"/>
      <c r="H147" s="5"/>
      <c r="I147" s="9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2:19" ht="15" x14ac:dyDescent="0.25">
      <c r="B148" s="4"/>
      <c r="C148" s="5"/>
      <c r="D148" s="5"/>
      <c r="E148" s="5"/>
      <c r="F148" s="5"/>
      <c r="G148" s="5"/>
      <c r="H148" s="5"/>
      <c r="I148" s="9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ht="15" x14ac:dyDescent="0.25">
      <c r="B149" s="4"/>
      <c r="C149" s="5"/>
      <c r="D149" s="5"/>
      <c r="E149" s="5"/>
      <c r="F149" s="5"/>
      <c r="G149" s="5"/>
      <c r="H149" s="5"/>
      <c r="I149" s="9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ht="15" x14ac:dyDescent="0.25">
      <c r="B150" s="4"/>
      <c r="C150" s="5"/>
      <c r="D150" s="5"/>
      <c r="E150" s="5"/>
      <c r="F150" s="5"/>
      <c r="G150" s="5"/>
      <c r="H150" s="5"/>
      <c r="I150" s="9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ht="15" x14ac:dyDescent="0.25">
      <c r="B151" s="4"/>
      <c r="C151" s="5"/>
      <c r="D151" s="5"/>
      <c r="E151" s="5"/>
      <c r="F151" s="5"/>
      <c r="G151" s="5"/>
      <c r="H151" s="5"/>
      <c r="I151" s="9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2:19" ht="15" x14ac:dyDescent="0.25">
      <c r="B152" s="4"/>
      <c r="C152" s="5"/>
      <c r="D152" s="5"/>
      <c r="E152" s="5"/>
      <c r="F152" s="5"/>
      <c r="G152" s="5"/>
      <c r="H152" s="5"/>
      <c r="I152" s="9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2:19" ht="15" x14ac:dyDescent="0.25">
      <c r="B153" s="4"/>
      <c r="C153" s="5"/>
      <c r="D153" s="5"/>
      <c r="E153" s="5"/>
      <c r="F153" s="5"/>
      <c r="G153" s="5"/>
      <c r="H153" s="5"/>
      <c r="I153" s="9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2:19" ht="15" x14ac:dyDescent="0.25">
      <c r="B154" s="4"/>
      <c r="C154" s="5"/>
      <c r="D154" s="5"/>
      <c r="E154" s="5"/>
      <c r="F154" s="5"/>
      <c r="G154" s="5"/>
      <c r="H154" s="5"/>
      <c r="I154" s="9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2:19" ht="15" x14ac:dyDescent="0.25">
      <c r="B155" s="4"/>
      <c r="C155" s="4"/>
      <c r="D155" s="4"/>
      <c r="E155" s="4"/>
      <c r="F155" s="4"/>
      <c r="G155" s="4"/>
      <c r="H155" s="4"/>
      <c r="I155" s="11"/>
    </row>
    <row r="156" spans="2:19" ht="15" x14ac:dyDescent="0.25">
      <c r="B156" s="4"/>
      <c r="C156" s="4"/>
      <c r="D156" s="4"/>
      <c r="E156" s="4"/>
      <c r="F156" s="4"/>
      <c r="G156" s="4"/>
      <c r="H156" s="4"/>
      <c r="I156" s="11"/>
    </row>
    <row r="157" spans="2:19" ht="15" x14ac:dyDescent="0.25">
      <c r="B157" s="4"/>
      <c r="C157" s="4"/>
      <c r="D157" s="4"/>
      <c r="E157" s="4"/>
      <c r="F157" s="4"/>
      <c r="G157" s="4"/>
      <c r="H157" s="4"/>
      <c r="I157" s="11"/>
    </row>
    <row r="158" spans="2:19" ht="15" x14ac:dyDescent="0.25">
      <c r="B158" s="4"/>
      <c r="C158" s="4"/>
      <c r="D158" s="4"/>
      <c r="E158" s="4"/>
      <c r="F158" s="4"/>
      <c r="G158" s="4"/>
      <c r="H158" s="4"/>
      <c r="I158" s="11"/>
    </row>
    <row r="159" spans="2:19" ht="15" x14ac:dyDescent="0.25">
      <c r="B159" s="4"/>
      <c r="C159" s="4"/>
      <c r="D159" s="4"/>
      <c r="E159" s="4"/>
      <c r="F159" s="4"/>
      <c r="G159" s="4"/>
      <c r="H159" s="4"/>
      <c r="I159" s="11"/>
    </row>
    <row r="160" spans="2:19" ht="15" x14ac:dyDescent="0.25">
      <c r="B160" s="4"/>
      <c r="C160" s="4"/>
      <c r="D160" s="4"/>
      <c r="E160" s="4"/>
      <c r="F160" s="4"/>
      <c r="G160" s="4"/>
      <c r="H160" s="4"/>
      <c r="I160" s="11"/>
    </row>
    <row r="161" spans="2:9" ht="15" x14ac:dyDescent="0.25">
      <c r="B161" s="4"/>
      <c r="C161" s="4"/>
      <c r="D161" s="4"/>
      <c r="E161" s="4"/>
      <c r="F161" s="4"/>
      <c r="G161" s="4"/>
      <c r="H161" s="4"/>
      <c r="I161" s="11"/>
    </row>
    <row r="162" spans="2:9" ht="15" x14ac:dyDescent="0.25">
      <c r="B162" s="4"/>
      <c r="C162" s="4"/>
      <c r="D162" s="4"/>
      <c r="E162" s="4"/>
      <c r="F162" s="4"/>
      <c r="G162" s="4"/>
      <c r="H162" s="4"/>
      <c r="I162" s="11"/>
    </row>
    <row r="163" spans="2:9" ht="15" x14ac:dyDescent="0.25">
      <c r="B163" s="4"/>
      <c r="C163" s="4"/>
      <c r="D163" s="4"/>
      <c r="E163" s="4"/>
      <c r="F163" s="4"/>
      <c r="G163" s="4"/>
      <c r="H163" s="4"/>
      <c r="I163" s="11"/>
    </row>
    <row r="164" spans="2:9" ht="15" x14ac:dyDescent="0.25">
      <c r="B164" s="4"/>
      <c r="C164" s="4"/>
      <c r="D164" s="4"/>
      <c r="E164" s="4"/>
      <c r="F164" s="4"/>
      <c r="G164" s="4"/>
      <c r="H164" s="4"/>
      <c r="I164" s="11"/>
    </row>
    <row r="165" spans="2:9" ht="15" x14ac:dyDescent="0.25">
      <c r="B165" s="4"/>
      <c r="C165" s="4"/>
      <c r="D165" s="4"/>
      <c r="E165" s="4"/>
      <c r="F165" s="4"/>
      <c r="G165" s="4"/>
      <c r="H165" s="4"/>
      <c r="I165" s="11"/>
    </row>
    <row r="166" spans="2:9" ht="15" x14ac:dyDescent="0.25">
      <c r="B166" s="4"/>
      <c r="C166" s="4"/>
      <c r="D166" s="4"/>
      <c r="E166" s="4"/>
      <c r="F166" s="4"/>
      <c r="G166" s="4"/>
      <c r="H166" s="4"/>
      <c r="I166" s="11"/>
    </row>
    <row r="167" spans="2:9" ht="15" x14ac:dyDescent="0.25">
      <c r="B167" s="4"/>
      <c r="C167" s="4"/>
      <c r="D167" s="4"/>
      <c r="E167" s="4"/>
      <c r="F167" s="4"/>
      <c r="G167" s="4"/>
      <c r="H167" s="4"/>
      <c r="I167" s="11"/>
    </row>
    <row r="168" spans="2:9" ht="15" x14ac:dyDescent="0.25">
      <c r="B168" s="4"/>
      <c r="C168" s="4"/>
      <c r="D168" s="4"/>
      <c r="E168" s="4"/>
      <c r="F168" s="4"/>
      <c r="G168" s="4"/>
      <c r="H168" s="4"/>
      <c r="I168" s="11"/>
    </row>
    <row r="169" spans="2:9" ht="15" x14ac:dyDescent="0.25">
      <c r="B169" s="4"/>
      <c r="C169" s="4"/>
      <c r="D169" s="4"/>
      <c r="E169" s="4"/>
      <c r="F169" s="4"/>
      <c r="G169" s="4"/>
      <c r="H169" s="4"/>
      <c r="I169" s="11"/>
    </row>
    <row r="170" spans="2:9" ht="15" x14ac:dyDescent="0.25">
      <c r="B170" s="4"/>
      <c r="C170" s="4"/>
      <c r="D170" s="4"/>
      <c r="E170" s="4"/>
      <c r="F170" s="4"/>
      <c r="G170" s="4"/>
      <c r="H170" s="4"/>
      <c r="I170" s="11"/>
    </row>
    <row r="171" spans="2:9" ht="15" x14ac:dyDescent="0.25">
      <c r="B171" s="4"/>
      <c r="C171" s="4"/>
      <c r="D171" s="4"/>
      <c r="E171" s="4"/>
      <c r="F171" s="4"/>
      <c r="G171" s="4"/>
      <c r="H171" s="4"/>
      <c r="I171" s="11"/>
    </row>
    <row r="172" spans="2:9" ht="15" x14ac:dyDescent="0.25">
      <c r="B172" s="4"/>
      <c r="C172" s="4"/>
      <c r="D172" s="4"/>
      <c r="E172" s="4"/>
      <c r="F172" s="4"/>
      <c r="G172" s="4"/>
      <c r="H172" s="4"/>
      <c r="I172" s="11"/>
    </row>
  </sheetData>
  <printOptions gridLines="1"/>
  <pageMargins left="0.25" right="0.25" top="0.5" bottom="0.5" header="0" footer="0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A8E3-1DA4-43D3-A13D-5C76DF61B855}">
  <sheetPr>
    <pageSetUpPr fitToPage="1"/>
  </sheetPr>
  <dimension ref="A1:IQ55"/>
  <sheetViews>
    <sheetView topLeftCell="A14" workbookViewId="0">
      <selection activeCell="A27" sqref="A27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0.81640625" style="1" customWidth="1"/>
    <col min="4" max="4" width="10.7265625" style="23" customWidth="1"/>
    <col min="5" max="5" width="10.81640625" style="1" customWidth="1"/>
    <col min="6" max="6" width="11.6328125" style="23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99</v>
      </c>
      <c r="B2" s="19" t="s">
        <v>189</v>
      </c>
    </row>
    <row r="4" spans="1:6" ht="17.399999999999999" x14ac:dyDescent="0.3">
      <c r="A4" s="21" t="s">
        <v>95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0"/>
    </row>
    <row r="9" spans="1:6" x14ac:dyDescent="0.3">
      <c r="A9" s="1" t="s">
        <v>78</v>
      </c>
      <c r="C9" s="25">
        <v>1500</v>
      </c>
      <c r="D9" s="67">
        <v>1500</v>
      </c>
      <c r="E9" s="2"/>
      <c r="F9" s="40"/>
    </row>
    <row r="10" spans="1:6" s="27" customFormat="1" ht="18" thickBot="1" x14ac:dyDescent="0.35">
      <c r="A10" s="26" t="s">
        <v>79</v>
      </c>
      <c r="C10" s="71">
        <v>1500</v>
      </c>
      <c r="D10" s="33">
        <f>D9</f>
        <v>1500</v>
      </c>
      <c r="E10" s="30"/>
      <c r="F10" s="29"/>
    </row>
    <row r="11" spans="1:6" ht="16.2" thickTop="1" x14ac:dyDescent="0.3">
      <c r="C11" s="2"/>
      <c r="D11" s="40"/>
      <c r="E11" s="2"/>
      <c r="F11" s="40"/>
    </row>
    <row r="12" spans="1:6" x14ac:dyDescent="0.3">
      <c r="A12" s="1" t="s">
        <v>80</v>
      </c>
      <c r="C12" s="2">
        <v>0</v>
      </c>
      <c r="D12" s="40"/>
      <c r="E12" s="2"/>
      <c r="F12" s="40"/>
    </row>
    <row r="13" spans="1:6" x14ac:dyDescent="0.3">
      <c r="A13" s="1" t="s">
        <v>81</v>
      </c>
      <c r="C13" s="25">
        <v>0</v>
      </c>
      <c r="D13" s="67"/>
      <c r="E13" s="2"/>
      <c r="F13" s="40"/>
    </row>
    <row r="14" spans="1:6" s="27" customFormat="1" ht="18" thickBot="1" x14ac:dyDescent="0.35">
      <c r="A14" s="26" t="s">
        <v>79</v>
      </c>
      <c r="C14" s="78">
        <v>0</v>
      </c>
      <c r="D14" s="33"/>
      <c r="E14" s="30"/>
      <c r="F14" s="29"/>
    </row>
    <row r="15" spans="1:6" ht="16.2" thickTop="1" x14ac:dyDescent="0.3">
      <c r="C15" s="2"/>
      <c r="D15" s="40"/>
      <c r="E15" s="2"/>
      <c r="F15" s="40"/>
    </row>
    <row r="16" spans="1:6" x14ac:dyDescent="0.3">
      <c r="A16" s="1" t="s">
        <v>82</v>
      </c>
      <c r="C16" s="2">
        <v>2000</v>
      </c>
      <c r="D16" s="40">
        <v>2200</v>
      </c>
      <c r="E16" s="2"/>
      <c r="F16" s="40"/>
    </row>
    <row r="17" spans="1:8" x14ac:dyDescent="0.3">
      <c r="A17" s="1" t="s">
        <v>83</v>
      </c>
      <c r="C17" s="25"/>
      <c r="D17" s="67">
        <v>23484</v>
      </c>
      <c r="E17" s="2"/>
      <c r="F17" s="40"/>
    </row>
    <row r="18" spans="1:8" s="27" customFormat="1" ht="18" thickBot="1" x14ac:dyDescent="0.35">
      <c r="A18" s="26" t="s">
        <v>79</v>
      </c>
      <c r="C18" s="78">
        <f>SUM(C16:C17)</f>
        <v>2000</v>
      </c>
      <c r="D18" s="33">
        <f>SUM(D16+D17)</f>
        <v>25684</v>
      </c>
      <c r="E18" s="30"/>
      <c r="F18" s="29"/>
    </row>
    <row r="19" spans="1:8" ht="16.2" thickTop="1" x14ac:dyDescent="0.3">
      <c r="E19" s="2"/>
    </row>
    <row r="20" spans="1:8" x14ac:dyDescent="0.3">
      <c r="E20" s="2"/>
    </row>
    <row r="21" spans="1:8" s="27" customFormat="1" ht="17.399999999999999" x14ac:dyDescent="0.3">
      <c r="A21" s="31" t="s">
        <v>84</v>
      </c>
      <c r="C21" s="30">
        <f>SUM(C10+C14+C18)</f>
        <v>3500</v>
      </c>
      <c r="D21" s="29">
        <f>SUM(D10+D14+D18)</f>
        <v>27184</v>
      </c>
      <c r="E21" s="30"/>
      <c r="F21" s="29"/>
    </row>
    <row r="22" spans="1:8" s="27" customFormat="1" ht="17.399999999999999" x14ac:dyDescent="0.3">
      <c r="A22" s="31" t="s">
        <v>85</v>
      </c>
      <c r="C22" s="72">
        <f>'2025 Budget'!C104</f>
        <v>19018.168674698794</v>
      </c>
      <c r="D22" s="32">
        <f>'2025 Budget'!D103</f>
        <v>19801.734939759037</v>
      </c>
      <c r="E22" s="30"/>
      <c r="F22" s="29"/>
    </row>
    <row r="23" spans="1:8" s="27" customFormat="1" ht="18" thickBot="1" x14ac:dyDescent="0.35">
      <c r="A23" s="31" t="s">
        <v>86</v>
      </c>
      <c r="C23" s="73">
        <f>SUM(C21+C22)</f>
        <v>22518.168674698794</v>
      </c>
      <c r="D23" s="33">
        <f>SUM(D21+D22)</f>
        <v>46985.734939759037</v>
      </c>
      <c r="E23" s="30"/>
      <c r="F23" s="29"/>
      <c r="G23" s="30"/>
    </row>
    <row r="24" spans="1:8" s="27" customFormat="1" ht="18" thickTop="1" x14ac:dyDescent="0.3">
      <c r="A24" s="31"/>
      <c r="C24" s="30"/>
      <c r="D24" s="29"/>
      <c r="E24" s="30"/>
      <c r="F24" s="29"/>
      <c r="G24" s="30"/>
    </row>
    <row r="25" spans="1:8" s="27" customFormat="1" ht="17.399999999999999" x14ac:dyDescent="0.3">
      <c r="A25" s="31" t="s">
        <v>87</v>
      </c>
      <c r="C25" s="30"/>
      <c r="D25" s="29"/>
      <c r="E25" s="30"/>
      <c r="F25" s="29"/>
      <c r="G25" s="30"/>
    </row>
    <row r="26" spans="1:8" x14ac:dyDescent="0.3">
      <c r="C26" s="17"/>
      <c r="D26" s="68"/>
      <c r="E26" s="34"/>
      <c r="F26" s="40"/>
      <c r="G26" s="2"/>
      <c r="H26" s="35"/>
    </row>
    <row r="27" spans="1:8" ht="16.8" x14ac:dyDescent="0.3">
      <c r="A27" s="36" t="s">
        <v>153</v>
      </c>
      <c r="C27" s="17"/>
      <c r="D27" s="68"/>
      <c r="E27" s="34"/>
      <c r="F27" s="40"/>
      <c r="G27" s="2"/>
      <c r="H27" s="35"/>
    </row>
    <row r="28" spans="1:8" x14ac:dyDescent="0.3">
      <c r="C28" s="24"/>
      <c r="D28" s="24" t="s">
        <v>88</v>
      </c>
      <c r="E28" s="37"/>
    </row>
    <row r="29" spans="1:8" x14ac:dyDescent="0.3">
      <c r="C29" s="23"/>
      <c r="E29" s="37"/>
    </row>
    <row r="30" spans="1:8" x14ac:dyDescent="0.3">
      <c r="A30" s="23" t="s">
        <v>105</v>
      </c>
      <c r="C30" s="48"/>
      <c r="D30" s="40">
        <f>D21</f>
        <v>27184</v>
      </c>
      <c r="E30" s="2"/>
      <c r="F30" s="40"/>
      <c r="G30" s="2"/>
    </row>
    <row r="31" spans="1:8" x14ac:dyDescent="0.3">
      <c r="A31" s="23" t="s">
        <v>103</v>
      </c>
      <c r="C31" s="48"/>
      <c r="D31" s="67">
        <f>D22</f>
        <v>19801.734939759037</v>
      </c>
      <c r="E31" s="2"/>
      <c r="F31" s="40"/>
      <c r="G31" s="2"/>
    </row>
    <row r="32" spans="1:8" ht="18" thickBot="1" x14ac:dyDescent="0.35">
      <c r="A32" s="23" t="s">
        <v>104</v>
      </c>
      <c r="C32" s="47"/>
      <c r="D32" s="101">
        <f>SUM(D30:D31)</f>
        <v>46985.734939759037</v>
      </c>
      <c r="E32" s="2"/>
      <c r="F32" s="40"/>
    </row>
    <row r="33" spans="1:6" ht="16.2" thickTop="1" x14ac:dyDescent="0.3">
      <c r="A33" s="23"/>
      <c r="C33" s="48"/>
      <c r="D33" s="40"/>
      <c r="E33" s="2"/>
      <c r="F33" s="40"/>
    </row>
    <row r="34" spans="1:6" x14ac:dyDescent="0.3">
      <c r="A34" s="23" t="s">
        <v>147</v>
      </c>
      <c r="C34" s="48"/>
      <c r="D34" s="40"/>
      <c r="E34" s="2"/>
      <c r="F34" s="40"/>
    </row>
    <row r="35" spans="1:6" x14ac:dyDescent="0.3">
      <c r="A35" s="23" t="s">
        <v>160</v>
      </c>
      <c r="C35" s="48"/>
      <c r="D35" s="74">
        <v>5200</v>
      </c>
      <c r="E35" s="2"/>
      <c r="F35" s="40"/>
    </row>
    <row r="36" spans="1:6" ht="16.2" thickBot="1" x14ac:dyDescent="0.35">
      <c r="A36" s="23" t="s">
        <v>155</v>
      </c>
      <c r="C36" s="48"/>
      <c r="D36" s="92">
        <f>SUM(D32+D35)</f>
        <v>52185.734939759037</v>
      </c>
      <c r="E36" s="2"/>
      <c r="F36" s="40"/>
    </row>
    <row r="37" spans="1:6" ht="18" thickTop="1" x14ac:dyDescent="0.3">
      <c r="A37" s="21"/>
      <c r="C37" s="85"/>
      <c r="D37" s="85"/>
      <c r="E37" s="75"/>
      <c r="F37" s="40"/>
    </row>
    <row r="38" spans="1:6" ht="17.399999999999999" x14ac:dyDescent="0.3">
      <c r="A38" s="21" t="s">
        <v>156</v>
      </c>
      <c r="C38" s="23"/>
    </row>
    <row r="39" spans="1:6" x14ac:dyDescent="0.3">
      <c r="A39" s="23"/>
      <c r="C39" s="48"/>
    </row>
    <row r="40" spans="1:6" x14ac:dyDescent="0.3">
      <c r="A40" s="23" t="s">
        <v>157</v>
      </c>
      <c r="C40" s="69"/>
      <c r="D40" s="69">
        <f>3463+1205</f>
        <v>4668</v>
      </c>
    </row>
    <row r="41" spans="1:6" x14ac:dyDescent="0.3">
      <c r="A41" s="23" t="s">
        <v>106</v>
      </c>
      <c r="B41" s="23"/>
      <c r="C41" s="53"/>
      <c r="D41" s="95">
        <v>325</v>
      </c>
    </row>
    <row r="42" spans="1:6" ht="16.2" thickBot="1" x14ac:dyDescent="0.35">
      <c r="A42" s="23" t="s">
        <v>116</v>
      </c>
      <c r="C42" s="53"/>
      <c r="D42" s="96">
        <f>SUM(D40+D41)</f>
        <v>4993</v>
      </c>
    </row>
    <row r="43" spans="1:6" ht="15.75" customHeight="1" thickTop="1" x14ac:dyDescent="0.3">
      <c r="A43" s="23"/>
      <c r="C43" s="53"/>
      <c r="D43" s="53"/>
    </row>
    <row r="44" spans="1:6" x14ac:dyDescent="0.3">
      <c r="A44" s="23" t="s">
        <v>120</v>
      </c>
      <c r="C44" s="53"/>
      <c r="D44" s="53">
        <v>1205</v>
      </c>
    </row>
    <row r="45" spans="1:6" x14ac:dyDescent="0.3">
      <c r="A45" s="23" t="s">
        <v>106</v>
      </c>
      <c r="C45" s="53"/>
      <c r="D45" s="95">
        <v>325</v>
      </c>
    </row>
    <row r="46" spans="1:6" ht="16.2" thickBot="1" x14ac:dyDescent="0.35">
      <c r="A46" s="23" t="s">
        <v>116</v>
      </c>
      <c r="C46" s="53"/>
      <c r="D46" s="96">
        <f>SUM(D44+D45)</f>
        <v>1530</v>
      </c>
    </row>
    <row r="47" spans="1:6" ht="16.2" thickTop="1" x14ac:dyDescent="0.3">
      <c r="A47" s="23"/>
      <c r="C47" s="53"/>
      <c r="D47" s="53"/>
    </row>
    <row r="48" spans="1:6" x14ac:dyDescent="0.3">
      <c r="A48" s="23" t="s">
        <v>158</v>
      </c>
      <c r="B48" s="23" t="s">
        <v>185</v>
      </c>
      <c r="C48" s="53"/>
      <c r="D48" s="53">
        <f>13046*4</f>
        <v>52184</v>
      </c>
    </row>
    <row r="49" spans="1:6" x14ac:dyDescent="0.3">
      <c r="A49" s="23"/>
      <c r="C49" s="53"/>
      <c r="D49" s="53"/>
      <c r="F49" s="40"/>
    </row>
    <row r="50" spans="1:6" ht="17.399999999999999" x14ac:dyDescent="0.3">
      <c r="A50" s="21"/>
      <c r="C50" s="53"/>
      <c r="D50" s="53"/>
    </row>
    <row r="51" spans="1:6" x14ac:dyDescent="0.3">
      <c r="A51" s="23"/>
      <c r="C51" s="42"/>
      <c r="D51" s="42"/>
    </row>
    <row r="52" spans="1:6" x14ac:dyDescent="0.3">
      <c r="A52" s="23" t="s">
        <v>171</v>
      </c>
      <c r="C52" s="53">
        <v>11518</v>
      </c>
      <c r="D52" s="53"/>
    </row>
    <row r="53" spans="1:6" x14ac:dyDescent="0.3">
      <c r="A53" s="23" t="s">
        <v>172</v>
      </c>
      <c r="C53" s="53">
        <v>1250</v>
      </c>
      <c r="D53" s="53"/>
    </row>
    <row r="54" spans="1:6" x14ac:dyDescent="0.3">
      <c r="A54" s="23" t="s">
        <v>173</v>
      </c>
      <c r="D54" s="53">
        <f>C52+C53</f>
        <v>12768</v>
      </c>
    </row>
    <row r="55" spans="1:6" x14ac:dyDescent="0.3">
      <c r="A55" s="23" t="s">
        <v>170</v>
      </c>
      <c r="D55" s="53">
        <f>13046-12768</f>
        <v>278</v>
      </c>
    </row>
  </sheetData>
  <pageMargins left="0.7" right="0.7" top="0.75" bottom="0.75" header="0.3" footer="0.3"/>
  <pageSetup scale="7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EAAB-8973-4057-91FE-8E2AF04586C7}">
  <sheetPr>
    <pageSetUpPr fitToPage="1"/>
  </sheetPr>
  <dimension ref="A1:K39"/>
  <sheetViews>
    <sheetView workbookViewId="0">
      <selection activeCell="K17" sqref="K17"/>
    </sheetView>
  </sheetViews>
  <sheetFormatPr defaultRowHeight="15" x14ac:dyDescent="0.25"/>
  <cols>
    <col min="1" max="1" width="10.81640625" customWidth="1"/>
    <col min="2" max="2" width="11.36328125" customWidth="1"/>
    <col min="3" max="3" width="10.90625" customWidth="1"/>
    <col min="4" max="4" width="9.81640625" customWidth="1"/>
    <col min="6" max="6" width="8.90625" bestFit="1" customWidth="1"/>
    <col min="7" max="7" width="11.1796875" customWidth="1"/>
    <col min="8" max="8" width="11.08984375" customWidth="1"/>
    <col min="9" max="10" width="8.90625" bestFit="1" customWidth="1"/>
  </cols>
  <sheetData>
    <row r="1" spans="1:6" x14ac:dyDescent="0.25">
      <c r="A1" s="1" t="s">
        <v>114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 t="s">
        <v>127</v>
      </c>
      <c r="C3" s="1" t="s">
        <v>128</v>
      </c>
      <c r="D3" s="1" t="s">
        <v>116</v>
      </c>
      <c r="E3" s="1" t="s">
        <v>124</v>
      </c>
      <c r="F3" s="1" t="s">
        <v>116</v>
      </c>
    </row>
    <row r="4" spans="1:6" x14ac:dyDescent="0.25">
      <c r="A4" s="1"/>
      <c r="B4" s="1" t="s">
        <v>126</v>
      </c>
      <c r="C4" s="1" t="s">
        <v>129</v>
      </c>
      <c r="D4" s="1"/>
      <c r="E4" s="1"/>
      <c r="F4" s="1"/>
    </row>
    <row r="5" spans="1:6" x14ac:dyDescent="0.25">
      <c r="A5" s="1" t="s">
        <v>115</v>
      </c>
      <c r="B5" s="2">
        <f>245564-139160</f>
        <v>106404</v>
      </c>
      <c r="C5" s="2">
        <v>139160</v>
      </c>
      <c r="D5" s="2">
        <v>245564</v>
      </c>
      <c r="E5" s="2">
        <v>34000</v>
      </c>
      <c r="F5" s="2">
        <f>D5+E5</f>
        <v>279564</v>
      </c>
    </row>
    <row r="6" spans="1:6" x14ac:dyDescent="0.25">
      <c r="A6" s="1" t="s">
        <v>107</v>
      </c>
      <c r="B6" s="2">
        <f>266753-149248</f>
        <v>117505</v>
      </c>
      <c r="C6" s="2">
        <v>149248</v>
      </c>
      <c r="D6" s="2">
        <v>266753</v>
      </c>
      <c r="E6" s="2">
        <v>37400</v>
      </c>
      <c r="F6" s="2">
        <f t="shared" ref="F6:F12" si="0">D6+E6</f>
        <v>304153</v>
      </c>
    </row>
    <row r="7" spans="1:6" x14ac:dyDescent="0.25">
      <c r="A7" s="1" t="s">
        <v>108</v>
      </c>
      <c r="B7" s="2">
        <f>266753-149248</f>
        <v>117505</v>
      </c>
      <c r="C7" s="2">
        <v>149248</v>
      </c>
      <c r="D7" s="2">
        <v>266753</v>
      </c>
      <c r="E7" s="2">
        <v>37400</v>
      </c>
      <c r="F7" s="2">
        <f t="shared" si="0"/>
        <v>304153</v>
      </c>
    </row>
    <row r="8" spans="1:6" x14ac:dyDescent="0.25">
      <c r="A8" s="1" t="s">
        <v>109</v>
      </c>
      <c r="B8" s="2">
        <f>378965-209856</f>
        <v>169109</v>
      </c>
      <c r="C8" s="2">
        <v>209856</v>
      </c>
      <c r="D8" s="2">
        <v>378965</v>
      </c>
      <c r="E8" s="2">
        <v>54400</v>
      </c>
      <c r="F8" s="2">
        <f t="shared" si="0"/>
        <v>433365</v>
      </c>
    </row>
    <row r="9" spans="1:6" x14ac:dyDescent="0.25">
      <c r="A9" s="1" t="s">
        <v>110</v>
      </c>
      <c r="B9" s="2">
        <f>378965-209856</f>
        <v>169109</v>
      </c>
      <c r="C9" s="2">
        <v>209856</v>
      </c>
      <c r="D9" s="2">
        <v>378965</v>
      </c>
      <c r="E9" s="2">
        <v>54400</v>
      </c>
      <c r="F9" s="2">
        <f t="shared" si="0"/>
        <v>433365</v>
      </c>
    </row>
    <row r="10" spans="1:6" x14ac:dyDescent="0.25">
      <c r="A10" s="1" t="s">
        <v>111</v>
      </c>
      <c r="B10" s="2">
        <f>335356-175200</f>
        <v>160156</v>
      </c>
      <c r="C10" s="2">
        <v>175200</v>
      </c>
      <c r="D10" s="2">
        <v>335356</v>
      </c>
      <c r="E10" s="2">
        <v>51000</v>
      </c>
      <c r="F10" s="2">
        <f t="shared" si="0"/>
        <v>386356</v>
      </c>
    </row>
    <row r="11" spans="1:6" x14ac:dyDescent="0.25">
      <c r="A11" s="1" t="s">
        <v>112</v>
      </c>
      <c r="B11" s="2">
        <f>46986-27704</f>
        <v>19282</v>
      </c>
      <c r="C11" s="2">
        <v>27704</v>
      </c>
      <c r="D11" s="2">
        <v>46986</v>
      </c>
      <c r="E11" s="2">
        <v>5200</v>
      </c>
      <c r="F11" s="2">
        <f t="shared" si="0"/>
        <v>52186</v>
      </c>
    </row>
    <row r="12" spans="1:6" x14ac:dyDescent="0.25">
      <c r="A12" s="1" t="s">
        <v>113</v>
      </c>
      <c r="B12" s="2">
        <f>46986-27704</f>
        <v>19282</v>
      </c>
      <c r="C12" s="2">
        <v>27704</v>
      </c>
      <c r="D12" s="2">
        <v>46986</v>
      </c>
      <c r="E12" s="2">
        <v>5200</v>
      </c>
      <c r="F12" s="2">
        <f t="shared" si="0"/>
        <v>52186</v>
      </c>
    </row>
    <row r="13" spans="1:6" x14ac:dyDescent="0.25">
      <c r="A13" s="1" t="s">
        <v>125</v>
      </c>
      <c r="B13" s="2"/>
      <c r="C13" s="2"/>
      <c r="D13" s="2"/>
      <c r="E13" s="2"/>
      <c r="F13" s="1"/>
    </row>
    <row r="14" spans="1:6" x14ac:dyDescent="0.25">
      <c r="A14" s="1" t="s">
        <v>116</v>
      </c>
      <c r="B14" s="2">
        <f>SUM(B5:B12)</f>
        <v>878352</v>
      </c>
      <c r="C14" s="2">
        <f>SUM(C5:C13)</f>
        <v>1087976</v>
      </c>
      <c r="D14" s="2">
        <f>SUM(D5:D12)</f>
        <v>1966328</v>
      </c>
      <c r="E14" s="2">
        <f>SUM(E5:E12)</f>
        <v>279000</v>
      </c>
      <c r="F14" s="2">
        <f>D14+E14</f>
        <v>2245328</v>
      </c>
    </row>
    <row r="15" spans="1:6" x14ac:dyDescent="0.25">
      <c r="A15" s="1"/>
      <c r="B15" s="2"/>
      <c r="C15" s="2"/>
      <c r="D15" s="2"/>
      <c r="E15" s="2"/>
      <c r="F15" s="1"/>
    </row>
    <row r="16" spans="1:6" x14ac:dyDescent="0.25">
      <c r="A16" s="1" t="s">
        <v>123</v>
      </c>
      <c r="B16" s="2">
        <v>1966327</v>
      </c>
      <c r="C16" s="2"/>
      <c r="D16" s="2"/>
      <c r="E16" s="2"/>
      <c r="F16" s="1"/>
    </row>
    <row r="17" spans="1:11" x14ac:dyDescent="0.25">
      <c r="A17" s="1"/>
      <c r="B17" s="1"/>
      <c r="C17" s="1"/>
      <c r="D17" s="1"/>
      <c r="E17" s="1"/>
      <c r="F17" s="1"/>
    </row>
    <row r="18" spans="1:11" x14ac:dyDescent="0.25">
      <c r="A18" s="1" t="s">
        <v>161</v>
      </c>
      <c r="B18" s="1"/>
      <c r="C18" s="1"/>
      <c r="D18" s="1"/>
      <c r="E18" s="1"/>
      <c r="F18" s="1"/>
    </row>
    <row r="19" spans="1:11" x14ac:dyDescent="0.25">
      <c r="A19" s="1"/>
      <c r="B19" s="1" t="s">
        <v>162</v>
      </c>
      <c r="C19" s="1" t="s">
        <v>163</v>
      </c>
      <c r="D19" s="1" t="s">
        <v>164</v>
      </c>
      <c r="E19" s="1" t="s">
        <v>128</v>
      </c>
      <c r="F19" s="1" t="s">
        <v>124</v>
      </c>
      <c r="G19" s="1" t="s">
        <v>165</v>
      </c>
      <c r="H19" s="1" t="s">
        <v>166</v>
      </c>
      <c r="I19" s="1" t="s">
        <v>116</v>
      </c>
    </row>
    <row r="20" spans="1:11" x14ac:dyDescent="0.25">
      <c r="A20" s="1"/>
      <c r="B20" s="1"/>
      <c r="C20" s="1"/>
      <c r="D20" s="1"/>
      <c r="E20" s="1"/>
      <c r="F20" s="1"/>
      <c r="G20" s="1" t="s">
        <v>167</v>
      </c>
      <c r="H20" s="1" t="s">
        <v>167</v>
      </c>
      <c r="I20" s="1" t="s">
        <v>168</v>
      </c>
    </row>
    <row r="21" spans="1:11" x14ac:dyDescent="0.25">
      <c r="A21" s="1"/>
      <c r="B21" s="1"/>
      <c r="C21" s="1"/>
      <c r="D21" s="1"/>
      <c r="E21" s="1"/>
      <c r="F21" s="1"/>
    </row>
    <row r="22" spans="1:11" x14ac:dyDescent="0.25">
      <c r="A22" s="1" t="s">
        <v>117</v>
      </c>
      <c r="B22" s="2">
        <f>'2025 Budget'!I97</f>
        <v>245564.14305322556</v>
      </c>
      <c r="C22" s="2">
        <f t="shared" ref="C22:C29" si="1">B22-C5</f>
        <v>106404.14305322556</v>
      </c>
      <c r="D22" s="2">
        <f>C22/4/20</f>
        <v>1330.0517881653195</v>
      </c>
      <c r="E22" s="2">
        <v>3479</v>
      </c>
      <c r="F22" s="2">
        <v>425</v>
      </c>
      <c r="G22" s="65">
        <f>SUM(D22:F22)</f>
        <v>5234.0517881653195</v>
      </c>
      <c r="H22" s="65">
        <f>SUM(D22+F22)</f>
        <v>1755.0517881653195</v>
      </c>
      <c r="I22" s="65">
        <f>G22*20*2+H22*20*2</f>
        <v>279564.14305322559</v>
      </c>
      <c r="J22" s="65">
        <v>279560</v>
      </c>
    </row>
    <row r="23" spans="1:11" x14ac:dyDescent="0.25">
      <c r="A23" s="1" t="s">
        <v>107</v>
      </c>
      <c r="B23" s="2">
        <f>'2025 Budget'!I98</f>
        <v>266752.75735854812</v>
      </c>
      <c r="C23" s="2">
        <f t="shared" si="1"/>
        <v>117504.75735854812</v>
      </c>
      <c r="D23" s="2">
        <f>C23/4/22</f>
        <v>1335.2813336198649</v>
      </c>
      <c r="E23" s="2">
        <v>3392</v>
      </c>
      <c r="F23" s="2">
        <v>425</v>
      </c>
      <c r="G23" s="65">
        <f>SUM(D23:F23)</f>
        <v>5152.2813336198651</v>
      </c>
      <c r="H23" s="65">
        <f t="shared" ref="H23:H29" si="2">SUM(D23+F23)</f>
        <v>1760.2813336198649</v>
      </c>
      <c r="I23" s="65">
        <f>G23*22*2+H23*22*2</f>
        <v>304152.75735854812</v>
      </c>
      <c r="J23" s="65">
        <v>304150</v>
      </c>
    </row>
    <row r="24" spans="1:11" x14ac:dyDescent="0.25">
      <c r="A24" s="1" t="s">
        <v>108</v>
      </c>
      <c r="B24" s="2">
        <f>'2025 Budget'!I99</f>
        <v>266752.75735854812</v>
      </c>
      <c r="C24" s="2">
        <f t="shared" si="1"/>
        <v>117504.75735854812</v>
      </c>
      <c r="D24" s="2">
        <f>C24/4/22</f>
        <v>1335.2813336198649</v>
      </c>
      <c r="E24" s="2">
        <v>3392</v>
      </c>
      <c r="F24" s="2">
        <v>425</v>
      </c>
      <c r="G24" s="65">
        <f t="shared" ref="G24:G29" si="3">SUM(D24:F24)</f>
        <v>5152.2813336198651</v>
      </c>
      <c r="H24" s="65">
        <f t="shared" si="2"/>
        <v>1760.2813336198649</v>
      </c>
      <c r="I24" s="65">
        <f>G24*22*2+H24*22*2</f>
        <v>304152.75735854812</v>
      </c>
      <c r="J24" s="65">
        <v>304150</v>
      </c>
    </row>
    <row r="25" spans="1:11" x14ac:dyDescent="0.25">
      <c r="A25" s="1" t="s">
        <v>109</v>
      </c>
      <c r="B25" s="2">
        <f>'2025 Budget'!I100</f>
        <v>378964.82888516091</v>
      </c>
      <c r="C25" s="2">
        <f t="shared" si="1"/>
        <v>169108.82888516091</v>
      </c>
      <c r="D25" s="2">
        <f>C25/4/32</f>
        <v>1321.1627256653196</v>
      </c>
      <c r="E25" s="2">
        <v>3279</v>
      </c>
      <c r="F25" s="2">
        <v>425</v>
      </c>
      <c r="G25" s="65">
        <f t="shared" si="3"/>
        <v>5025.1627256653192</v>
      </c>
      <c r="H25" s="65">
        <f t="shared" si="2"/>
        <v>1746.1627256653196</v>
      </c>
      <c r="I25" s="65">
        <f>G25*32*2+H25*32*2</f>
        <v>433364.82888516085</v>
      </c>
      <c r="J25" s="65">
        <v>433334</v>
      </c>
    </row>
    <row r="26" spans="1:11" x14ac:dyDescent="0.25">
      <c r="A26" s="1" t="s">
        <v>110</v>
      </c>
      <c r="B26" s="2">
        <f>'2025 Budget'!I101</f>
        <v>378964.82888516091</v>
      </c>
      <c r="C26" s="2">
        <f t="shared" si="1"/>
        <v>169108.82888516091</v>
      </c>
      <c r="D26" s="2">
        <f>C26/4/32</f>
        <v>1321.1627256653196</v>
      </c>
      <c r="E26" s="2">
        <v>3279</v>
      </c>
      <c r="F26" s="2">
        <v>425</v>
      </c>
      <c r="G26" s="65">
        <f t="shared" si="3"/>
        <v>5025.1627256653192</v>
      </c>
      <c r="H26" s="65">
        <f t="shared" si="2"/>
        <v>1746.1627256653196</v>
      </c>
      <c r="I26" s="65">
        <f>G26*32*2+H26*32*2</f>
        <v>433364.82888516085</v>
      </c>
      <c r="J26" s="65">
        <v>433334</v>
      </c>
    </row>
    <row r="27" spans="1:11" x14ac:dyDescent="0.25">
      <c r="A27" s="1" t="s">
        <v>111</v>
      </c>
      <c r="B27" s="2">
        <f>'2025 Budget'!I102</f>
        <v>335356.21457983833</v>
      </c>
      <c r="C27" s="2">
        <f t="shared" si="1"/>
        <v>160156.21457983833</v>
      </c>
      <c r="D27" s="2">
        <f>C27/4/30</f>
        <v>1334.6351214986528</v>
      </c>
      <c r="E27" s="2">
        <v>2920</v>
      </c>
      <c r="F27" s="2">
        <v>425</v>
      </c>
      <c r="G27" s="65">
        <f t="shared" si="3"/>
        <v>4679.6351214986526</v>
      </c>
      <c r="H27" s="65">
        <f t="shared" si="2"/>
        <v>1759.6351214986528</v>
      </c>
      <c r="I27" s="65">
        <f>G27*30*2+H27*30*2</f>
        <v>386356.21457983833</v>
      </c>
      <c r="J27" s="65">
        <v>386400</v>
      </c>
    </row>
    <row r="28" spans="1:11" x14ac:dyDescent="0.25">
      <c r="A28" s="1" t="s">
        <v>112</v>
      </c>
      <c r="B28" s="2">
        <f>'2025 Budget'!I103</f>
        <v>46985.734939759037</v>
      </c>
      <c r="C28" s="2">
        <f t="shared" si="1"/>
        <v>19281.734939759037</v>
      </c>
      <c r="D28" s="2">
        <f>C28/4/4</f>
        <v>1205.1084337349398</v>
      </c>
      <c r="E28" s="2">
        <v>3463</v>
      </c>
      <c r="F28" s="2">
        <v>325</v>
      </c>
      <c r="G28" s="65">
        <f t="shared" si="3"/>
        <v>4993.1084337349403</v>
      </c>
      <c r="H28" s="65">
        <f t="shared" si="2"/>
        <v>1530.1084337349398</v>
      </c>
      <c r="I28" s="65">
        <f>G28*4*2+H28*4*2</f>
        <v>52185.734939759044</v>
      </c>
      <c r="J28" s="65">
        <v>52184</v>
      </c>
    </row>
    <row r="29" spans="1:11" x14ac:dyDescent="0.25">
      <c r="A29" s="1" t="s">
        <v>113</v>
      </c>
      <c r="B29" s="2">
        <f>'2025 Budget'!I104</f>
        <v>46985.734939759037</v>
      </c>
      <c r="C29" s="2">
        <f t="shared" si="1"/>
        <v>19281.734939759037</v>
      </c>
      <c r="D29" s="2">
        <f>C29/4/4</f>
        <v>1205.1084337349398</v>
      </c>
      <c r="E29" s="2">
        <v>3463</v>
      </c>
      <c r="F29" s="2">
        <v>325</v>
      </c>
      <c r="G29" s="65">
        <f t="shared" si="3"/>
        <v>4993.1084337349403</v>
      </c>
      <c r="H29" s="65">
        <f t="shared" si="2"/>
        <v>1530.1084337349398</v>
      </c>
      <c r="I29" s="65">
        <f>G29*4*2+H29*4*2</f>
        <v>52185.734939759044</v>
      </c>
      <c r="J29" s="65">
        <v>52184</v>
      </c>
    </row>
    <row r="30" spans="1:11" x14ac:dyDescent="0.25">
      <c r="A30" s="1"/>
      <c r="B30" s="43"/>
      <c r="C30" s="43"/>
      <c r="D30" s="43"/>
      <c r="E30" s="66"/>
      <c r="F30" s="1"/>
      <c r="I30" s="65"/>
      <c r="J30" s="65"/>
    </row>
    <row r="31" spans="1:11" x14ac:dyDescent="0.25">
      <c r="A31" s="1" t="s">
        <v>116</v>
      </c>
      <c r="B31" s="2">
        <f>SUM(B22:B29)</f>
        <v>1966327.0000000002</v>
      </c>
      <c r="C31" s="2">
        <f>SUM(C22:C29)</f>
        <v>878351</v>
      </c>
      <c r="D31" s="43"/>
      <c r="E31" s="66"/>
      <c r="F31" s="1"/>
      <c r="I31" s="65">
        <f>SUM(I22:I29)</f>
        <v>2245327</v>
      </c>
      <c r="J31" s="65">
        <f>SUM(J22:J29)</f>
        <v>2245296</v>
      </c>
      <c r="K31" s="65"/>
    </row>
    <row r="32" spans="1:11" x14ac:dyDescent="0.25">
      <c r="A32" s="1"/>
      <c r="B32" s="43"/>
      <c r="C32" s="43"/>
      <c r="D32" s="43"/>
      <c r="E32" s="66"/>
      <c r="F32" s="1"/>
    </row>
    <row r="33" spans="1:6" x14ac:dyDescent="0.25">
      <c r="A33" s="1" t="s">
        <v>186</v>
      </c>
      <c r="B33" s="43"/>
      <c r="C33" s="43"/>
      <c r="D33" s="43"/>
      <c r="E33" s="66"/>
      <c r="F33" s="1"/>
    </row>
    <row r="34" spans="1:6" x14ac:dyDescent="0.25">
      <c r="A34" s="1"/>
      <c r="B34" s="43"/>
      <c r="C34" s="43"/>
      <c r="D34" s="43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E37" s="1"/>
    </row>
    <row r="38" spans="1:6" x14ac:dyDescent="0.25">
      <c r="A38" s="1"/>
    </row>
    <row r="39" spans="1:6" x14ac:dyDescent="0.25">
      <c r="A39" s="1"/>
    </row>
  </sheetData>
  <printOptions gridLines="1"/>
  <pageMargins left="0.7" right="0.7" top="0.75" bottom="0.75" header="0.3" footer="0.3"/>
  <pageSetup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8B91-80DF-4A0B-ACF7-7C35AECA7B6D}">
  <sheetPr>
    <pageSetUpPr fitToPage="1"/>
  </sheetPr>
  <dimension ref="A1:M85"/>
  <sheetViews>
    <sheetView tabSelected="1" topLeftCell="A3" zoomScaleNormal="100" workbookViewId="0">
      <selection activeCell="C16" sqref="C16"/>
    </sheetView>
  </sheetViews>
  <sheetFormatPr defaultRowHeight="15" x14ac:dyDescent="0.25"/>
  <cols>
    <col min="1" max="1" width="19" customWidth="1"/>
    <col min="2" max="2" width="12.7265625" customWidth="1"/>
    <col min="3" max="4" width="9.90625" customWidth="1"/>
    <col min="5" max="5" width="11" customWidth="1"/>
    <col min="6" max="6" width="9.90625" bestFit="1" customWidth="1"/>
    <col min="7" max="7" width="10.36328125" bestFit="1" customWidth="1"/>
    <col min="8" max="9" width="8.90625" bestFit="1" customWidth="1"/>
    <col min="10" max="10" width="10.54296875" customWidth="1"/>
    <col min="11" max="11" width="10.7265625" bestFit="1" customWidth="1"/>
  </cols>
  <sheetData>
    <row r="1" spans="1:13" ht="17.399999999999999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7.399999999999999" x14ac:dyDescent="0.3">
      <c r="A2" s="21" t="s">
        <v>133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7.399999999999999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7.399999999999999" x14ac:dyDescent="0.3">
      <c r="A4" s="30"/>
      <c r="B4" s="30" t="s">
        <v>117</v>
      </c>
      <c r="C4" s="30" t="s">
        <v>107</v>
      </c>
      <c r="D4" s="30" t="s">
        <v>108</v>
      </c>
      <c r="E4" s="30" t="s">
        <v>109</v>
      </c>
      <c r="F4" s="30" t="s">
        <v>110</v>
      </c>
      <c r="G4" s="63" t="s">
        <v>111</v>
      </c>
      <c r="H4" s="63" t="s">
        <v>112</v>
      </c>
      <c r="I4" s="63" t="s">
        <v>113</v>
      </c>
      <c r="J4" s="30" t="s">
        <v>118</v>
      </c>
      <c r="K4" s="30" t="s">
        <v>116</v>
      </c>
      <c r="L4" s="27"/>
      <c r="M4" s="27"/>
    </row>
    <row r="5" spans="1:13" ht="17.399999999999999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27"/>
      <c r="M5" s="27"/>
    </row>
    <row r="6" spans="1:13" ht="17.399999999999999" x14ac:dyDescent="0.3">
      <c r="A6" s="30" t="s">
        <v>131</v>
      </c>
      <c r="B6" s="30">
        <v>122687</v>
      </c>
      <c r="C6" s="30">
        <v>131749</v>
      </c>
      <c r="D6" s="30">
        <v>131749</v>
      </c>
      <c r="E6" s="30">
        <v>185968</v>
      </c>
      <c r="F6" s="30">
        <v>185968</v>
      </c>
      <c r="G6" s="30">
        <v>152656</v>
      </c>
      <c r="H6" s="30">
        <v>23484</v>
      </c>
      <c r="I6" s="30">
        <v>23484</v>
      </c>
      <c r="J6" s="30">
        <v>80621</v>
      </c>
      <c r="K6" s="30">
        <f>SUM(B6:J6)</f>
        <v>1038366</v>
      </c>
      <c r="L6" s="27"/>
      <c r="M6" s="27"/>
    </row>
    <row r="7" spans="1:13" ht="17.399999999999999" x14ac:dyDescent="0.3">
      <c r="A7" s="30" t="s">
        <v>130</v>
      </c>
      <c r="B7" s="30">
        <v>6380</v>
      </c>
      <c r="C7" s="30">
        <v>6380</v>
      </c>
      <c r="D7" s="30">
        <v>6380</v>
      </c>
      <c r="E7" s="30">
        <v>7700</v>
      </c>
      <c r="F7" s="30">
        <v>7700</v>
      </c>
      <c r="G7" s="30">
        <v>7370</v>
      </c>
      <c r="H7" s="30">
        <v>2200</v>
      </c>
      <c r="I7" s="30">
        <v>2200</v>
      </c>
      <c r="J7" s="30">
        <v>3300</v>
      </c>
      <c r="K7" s="30">
        <f>SUM(B7:J7)</f>
        <v>49610</v>
      </c>
      <c r="L7" s="27"/>
      <c r="M7" s="27"/>
    </row>
    <row r="8" spans="1:13" ht="17.399999999999999" x14ac:dyDescent="0.3">
      <c r="A8" s="30" t="s">
        <v>116</v>
      </c>
      <c r="B8" s="30">
        <f>SUM(B6+B7)</f>
        <v>129067</v>
      </c>
      <c r="C8" s="30">
        <f t="shared" ref="C8:I8" si="0">SUM(C6+C7)</f>
        <v>138129</v>
      </c>
      <c r="D8" s="30">
        <f t="shared" si="0"/>
        <v>138129</v>
      </c>
      <c r="E8" s="30">
        <f t="shared" si="0"/>
        <v>193668</v>
      </c>
      <c r="F8" s="30">
        <f t="shared" si="0"/>
        <v>193668</v>
      </c>
      <c r="G8" s="30">
        <f t="shared" si="0"/>
        <v>160026</v>
      </c>
      <c r="H8" s="30">
        <f t="shared" si="0"/>
        <v>25684</v>
      </c>
      <c r="I8" s="30">
        <f t="shared" si="0"/>
        <v>25684</v>
      </c>
      <c r="J8" s="30"/>
      <c r="K8" s="30">
        <f>SUM(K6:K7)</f>
        <v>1087976</v>
      </c>
      <c r="L8" s="27"/>
      <c r="M8" s="27"/>
    </row>
    <row r="9" spans="1:13" ht="17.399999999999999" x14ac:dyDescent="0.3">
      <c r="A9" s="30" t="s">
        <v>118</v>
      </c>
      <c r="B9" s="30">
        <f>83852/166*20</f>
        <v>10102.650602409638</v>
      </c>
      <c r="C9" s="30">
        <f>83852/166*22</f>
        <v>11112.915662650603</v>
      </c>
      <c r="D9" s="30">
        <f>83852/166*22</f>
        <v>11112.915662650603</v>
      </c>
      <c r="E9" s="30">
        <f>83852/166*32</f>
        <v>16164.240963855422</v>
      </c>
      <c r="F9" s="30">
        <f>83852/166*32</f>
        <v>16164.240963855422</v>
      </c>
      <c r="G9" s="30">
        <f>83852/166*30</f>
        <v>15153.975903614459</v>
      </c>
      <c r="H9" s="30">
        <f>83852/166*4</f>
        <v>2020.5301204819277</v>
      </c>
      <c r="I9" s="30">
        <f>83852/166*4</f>
        <v>2020.5301204819277</v>
      </c>
      <c r="J9" s="30">
        <f>SUM(B9:I9)</f>
        <v>83852</v>
      </c>
      <c r="K9" s="30"/>
      <c r="L9" s="27"/>
      <c r="M9" s="27"/>
    </row>
    <row r="10" spans="1:13" ht="17.399999999999999" x14ac:dyDescent="0.3">
      <c r="A10" s="30" t="s">
        <v>116</v>
      </c>
      <c r="B10" s="30">
        <f>SUM(B8:B9)</f>
        <v>139169.65060240965</v>
      </c>
      <c r="C10" s="30">
        <f t="shared" ref="C10:I10" si="1">SUM(C8:C9)</f>
        <v>149241.9156626506</v>
      </c>
      <c r="D10" s="30">
        <f t="shared" si="1"/>
        <v>149241.9156626506</v>
      </c>
      <c r="E10" s="30">
        <f t="shared" si="1"/>
        <v>209832.24096385541</v>
      </c>
      <c r="F10" s="30">
        <f t="shared" si="1"/>
        <v>209832.24096385541</v>
      </c>
      <c r="G10" s="30">
        <f t="shared" si="1"/>
        <v>175179.97590361445</v>
      </c>
      <c r="H10" s="30">
        <f t="shared" si="1"/>
        <v>27704.530120481926</v>
      </c>
      <c r="I10" s="30">
        <f t="shared" si="1"/>
        <v>27704.530120481926</v>
      </c>
      <c r="J10" s="30"/>
      <c r="K10" s="30"/>
      <c r="L10" s="27"/>
      <c r="M10" s="27"/>
    </row>
    <row r="11" spans="1:13" ht="17.399999999999999" x14ac:dyDescent="0.3">
      <c r="A11" s="30" t="s">
        <v>119</v>
      </c>
      <c r="B11" s="30">
        <f>139170/2</f>
        <v>69585</v>
      </c>
      <c r="C11" s="30">
        <f>149242/2</f>
        <v>74621</v>
      </c>
      <c r="D11" s="30">
        <f>149242/2</f>
        <v>74621</v>
      </c>
      <c r="E11" s="30">
        <f>209832/2</f>
        <v>104916</v>
      </c>
      <c r="F11" s="30">
        <f>209832/2</f>
        <v>104916</v>
      </c>
      <c r="G11" s="30">
        <f>175180/2</f>
        <v>87590</v>
      </c>
      <c r="H11" s="30">
        <f>27705/2</f>
        <v>13852.5</v>
      </c>
      <c r="I11" s="30">
        <v>13853</v>
      </c>
      <c r="J11" s="30"/>
      <c r="K11" s="30"/>
      <c r="L11" s="27"/>
      <c r="M11" s="27"/>
    </row>
    <row r="12" spans="1:13" ht="17.399999999999999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7"/>
      <c r="M12" s="27"/>
    </row>
    <row r="13" spans="1:13" ht="17.399999999999999" x14ac:dyDescent="0.3">
      <c r="A13" s="30" t="s">
        <v>151</v>
      </c>
      <c r="B13" s="30">
        <f>69585/20</f>
        <v>3479.25</v>
      </c>
      <c r="C13" s="30">
        <f>74621/22</f>
        <v>3391.8636363636365</v>
      </c>
      <c r="D13" s="30">
        <f>74621/22</f>
        <v>3391.8636363636365</v>
      </c>
      <c r="E13" s="30">
        <f>104916/32</f>
        <v>3278.625</v>
      </c>
      <c r="F13" s="30">
        <f>104916/32</f>
        <v>3278.625</v>
      </c>
      <c r="G13" s="30">
        <f>87590/30</f>
        <v>2919.6666666666665</v>
      </c>
      <c r="H13" s="30">
        <f>13853/4</f>
        <v>3463.25</v>
      </c>
      <c r="I13" s="30">
        <f>13853/4</f>
        <v>3463.25</v>
      </c>
      <c r="J13" s="30"/>
      <c r="K13" s="30"/>
      <c r="L13" s="27"/>
      <c r="M13" s="27"/>
    </row>
    <row r="14" spans="1:13" ht="17.399999999999999" x14ac:dyDescent="0.3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27"/>
      <c r="M14" s="27"/>
    </row>
    <row r="15" spans="1:13" ht="17.399999999999999" x14ac:dyDescent="0.3">
      <c r="A15" s="30" t="s">
        <v>116</v>
      </c>
      <c r="B15" s="30">
        <f>3479*2*20</f>
        <v>139160</v>
      </c>
      <c r="C15" s="30">
        <f>3392*2*22</f>
        <v>149248</v>
      </c>
      <c r="D15" s="30">
        <f>3392*2*22</f>
        <v>149248</v>
      </c>
      <c r="E15" s="30">
        <f>3279*2*32</f>
        <v>209856</v>
      </c>
      <c r="F15" s="30">
        <f>3279*2*32</f>
        <v>209856</v>
      </c>
      <c r="G15" s="30">
        <f>2920*2*30</f>
        <v>175200</v>
      </c>
      <c r="H15" s="30">
        <f>3463*2*4</f>
        <v>27704</v>
      </c>
      <c r="I15" s="30">
        <f>3463*2*4</f>
        <v>27704</v>
      </c>
      <c r="J15" s="30"/>
      <c r="K15" s="30">
        <f>SUM(B15:I15)</f>
        <v>1087976</v>
      </c>
      <c r="L15" s="27"/>
      <c r="M15" s="27"/>
    </row>
    <row r="16" spans="1:13" ht="17.399999999999999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27"/>
      <c r="M16" s="27"/>
    </row>
    <row r="17" spans="1:11" ht="17.399999999999999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21" x14ac:dyDescent="0.4">
      <c r="A18" s="64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17.399999999999999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17.399999999999999" x14ac:dyDescent="0.3">
      <c r="A21" s="30"/>
      <c r="B21" s="30"/>
      <c r="C21" s="30"/>
      <c r="D21" s="30"/>
      <c r="E21" s="30"/>
      <c r="F21" s="30"/>
      <c r="G21" s="30"/>
      <c r="H21" s="30"/>
      <c r="I21" s="30"/>
      <c r="J21" s="65"/>
      <c r="K21" s="30"/>
    </row>
    <row r="22" spans="1:1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</sheetData>
  <pageMargins left="0.7" right="0.7" top="0.75" bottom="0.75" header="0.3" footer="0.3"/>
  <pageSetup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6002-45F6-4BC5-ADBD-A1E28E823136}">
  <sheetPr>
    <pageSetUpPr fitToPage="1"/>
  </sheetPr>
  <dimension ref="A1:IP62"/>
  <sheetViews>
    <sheetView topLeftCell="A20" workbookViewId="0">
      <selection activeCell="B2" sqref="B2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1.26953125" style="1" customWidth="1"/>
    <col min="4" max="4" width="13.08984375" style="23" customWidth="1"/>
    <col min="5" max="5" width="15.6328125" style="1" customWidth="1"/>
    <col min="6" max="250" width="9.6328125" style="1"/>
    <col min="254" max="254" width="13.6328125" customWidth="1"/>
    <col min="255" max="255" width="17.81640625" customWidth="1"/>
    <col min="256" max="256" width="11.81640625" customWidth="1"/>
    <col min="257" max="257" width="5.81640625" customWidth="1"/>
    <col min="258" max="258" width="10.81640625" customWidth="1"/>
    <col min="259" max="259" width="5.81640625" customWidth="1"/>
    <col min="260" max="260" width="10.81640625" customWidth="1"/>
    <col min="261" max="261" width="15.6328125" customWidth="1"/>
    <col min="510" max="510" width="13.6328125" customWidth="1"/>
    <col min="511" max="511" width="17.81640625" customWidth="1"/>
    <col min="512" max="512" width="11.81640625" customWidth="1"/>
    <col min="513" max="513" width="5.81640625" customWidth="1"/>
    <col min="514" max="514" width="10.81640625" customWidth="1"/>
    <col min="515" max="515" width="5.81640625" customWidth="1"/>
    <col min="516" max="516" width="10.81640625" customWidth="1"/>
    <col min="517" max="517" width="15.6328125" customWidth="1"/>
    <col min="766" max="766" width="13.6328125" customWidth="1"/>
    <col min="767" max="767" width="17.81640625" customWidth="1"/>
    <col min="768" max="768" width="11.81640625" customWidth="1"/>
    <col min="769" max="769" width="5.81640625" customWidth="1"/>
    <col min="770" max="770" width="10.81640625" customWidth="1"/>
    <col min="771" max="771" width="5.81640625" customWidth="1"/>
    <col min="772" max="772" width="10.81640625" customWidth="1"/>
    <col min="773" max="773" width="15.6328125" customWidth="1"/>
    <col min="1022" max="1022" width="13.6328125" customWidth="1"/>
    <col min="1023" max="1023" width="17.81640625" customWidth="1"/>
    <col min="1024" max="1024" width="11.81640625" customWidth="1"/>
    <col min="1025" max="1025" width="5.81640625" customWidth="1"/>
    <col min="1026" max="1026" width="10.81640625" customWidth="1"/>
    <col min="1027" max="1027" width="5.81640625" customWidth="1"/>
    <col min="1028" max="1028" width="10.81640625" customWidth="1"/>
    <col min="1029" max="1029" width="15.6328125" customWidth="1"/>
    <col min="1278" max="1278" width="13.6328125" customWidth="1"/>
    <col min="1279" max="1279" width="17.81640625" customWidth="1"/>
    <col min="1280" max="1280" width="11.81640625" customWidth="1"/>
    <col min="1281" max="1281" width="5.81640625" customWidth="1"/>
    <col min="1282" max="1282" width="10.81640625" customWidth="1"/>
    <col min="1283" max="1283" width="5.81640625" customWidth="1"/>
    <col min="1284" max="1284" width="10.81640625" customWidth="1"/>
    <col min="1285" max="1285" width="15.6328125" customWidth="1"/>
    <col min="1534" max="1534" width="13.6328125" customWidth="1"/>
    <col min="1535" max="1535" width="17.81640625" customWidth="1"/>
    <col min="1536" max="1536" width="11.81640625" customWidth="1"/>
    <col min="1537" max="1537" width="5.81640625" customWidth="1"/>
    <col min="1538" max="1538" width="10.81640625" customWidth="1"/>
    <col min="1539" max="1539" width="5.81640625" customWidth="1"/>
    <col min="1540" max="1540" width="10.81640625" customWidth="1"/>
    <col min="1541" max="1541" width="15.6328125" customWidth="1"/>
    <col min="1790" max="1790" width="13.6328125" customWidth="1"/>
    <col min="1791" max="1791" width="17.81640625" customWidth="1"/>
    <col min="1792" max="1792" width="11.81640625" customWidth="1"/>
    <col min="1793" max="1793" width="5.81640625" customWidth="1"/>
    <col min="1794" max="1794" width="10.81640625" customWidth="1"/>
    <col min="1795" max="1795" width="5.81640625" customWidth="1"/>
    <col min="1796" max="1796" width="10.81640625" customWidth="1"/>
    <col min="1797" max="1797" width="15.6328125" customWidth="1"/>
    <col min="2046" max="2046" width="13.6328125" customWidth="1"/>
    <col min="2047" max="2047" width="17.81640625" customWidth="1"/>
    <col min="2048" max="2048" width="11.81640625" customWidth="1"/>
    <col min="2049" max="2049" width="5.81640625" customWidth="1"/>
    <col min="2050" max="2050" width="10.81640625" customWidth="1"/>
    <col min="2051" max="2051" width="5.81640625" customWidth="1"/>
    <col min="2052" max="2052" width="10.81640625" customWidth="1"/>
    <col min="2053" max="2053" width="15.6328125" customWidth="1"/>
    <col min="2302" max="2302" width="13.6328125" customWidth="1"/>
    <col min="2303" max="2303" width="17.81640625" customWidth="1"/>
    <col min="2304" max="2304" width="11.81640625" customWidth="1"/>
    <col min="2305" max="2305" width="5.81640625" customWidth="1"/>
    <col min="2306" max="2306" width="10.81640625" customWidth="1"/>
    <col min="2307" max="2307" width="5.81640625" customWidth="1"/>
    <col min="2308" max="2308" width="10.81640625" customWidth="1"/>
    <col min="2309" max="2309" width="15.6328125" customWidth="1"/>
    <col min="2558" max="2558" width="13.6328125" customWidth="1"/>
    <col min="2559" max="2559" width="17.81640625" customWidth="1"/>
    <col min="2560" max="2560" width="11.81640625" customWidth="1"/>
    <col min="2561" max="2561" width="5.81640625" customWidth="1"/>
    <col min="2562" max="2562" width="10.81640625" customWidth="1"/>
    <col min="2563" max="2563" width="5.81640625" customWidth="1"/>
    <col min="2564" max="2564" width="10.81640625" customWidth="1"/>
    <col min="2565" max="2565" width="15.6328125" customWidth="1"/>
    <col min="2814" max="2814" width="13.6328125" customWidth="1"/>
    <col min="2815" max="2815" width="17.81640625" customWidth="1"/>
    <col min="2816" max="2816" width="11.81640625" customWidth="1"/>
    <col min="2817" max="2817" width="5.81640625" customWidth="1"/>
    <col min="2818" max="2818" width="10.81640625" customWidth="1"/>
    <col min="2819" max="2819" width="5.81640625" customWidth="1"/>
    <col min="2820" max="2820" width="10.81640625" customWidth="1"/>
    <col min="2821" max="2821" width="15.6328125" customWidth="1"/>
    <col min="3070" max="3070" width="13.6328125" customWidth="1"/>
    <col min="3071" max="3071" width="17.81640625" customWidth="1"/>
    <col min="3072" max="3072" width="11.81640625" customWidth="1"/>
    <col min="3073" max="3073" width="5.81640625" customWidth="1"/>
    <col min="3074" max="3074" width="10.81640625" customWidth="1"/>
    <col min="3075" max="3075" width="5.81640625" customWidth="1"/>
    <col min="3076" max="3076" width="10.81640625" customWidth="1"/>
    <col min="3077" max="3077" width="15.6328125" customWidth="1"/>
    <col min="3326" max="3326" width="13.6328125" customWidth="1"/>
    <col min="3327" max="3327" width="17.81640625" customWidth="1"/>
    <col min="3328" max="3328" width="11.81640625" customWidth="1"/>
    <col min="3329" max="3329" width="5.81640625" customWidth="1"/>
    <col min="3330" max="3330" width="10.81640625" customWidth="1"/>
    <col min="3331" max="3331" width="5.81640625" customWidth="1"/>
    <col min="3332" max="3332" width="10.81640625" customWidth="1"/>
    <col min="3333" max="3333" width="15.6328125" customWidth="1"/>
    <col min="3582" max="3582" width="13.6328125" customWidth="1"/>
    <col min="3583" max="3583" width="17.81640625" customWidth="1"/>
    <col min="3584" max="3584" width="11.81640625" customWidth="1"/>
    <col min="3585" max="3585" width="5.81640625" customWidth="1"/>
    <col min="3586" max="3586" width="10.81640625" customWidth="1"/>
    <col min="3587" max="3587" width="5.81640625" customWidth="1"/>
    <col min="3588" max="3588" width="10.81640625" customWidth="1"/>
    <col min="3589" max="3589" width="15.6328125" customWidth="1"/>
    <col min="3838" max="3838" width="13.6328125" customWidth="1"/>
    <col min="3839" max="3839" width="17.81640625" customWidth="1"/>
    <col min="3840" max="3840" width="11.81640625" customWidth="1"/>
    <col min="3841" max="3841" width="5.81640625" customWidth="1"/>
    <col min="3842" max="3842" width="10.81640625" customWidth="1"/>
    <col min="3843" max="3843" width="5.81640625" customWidth="1"/>
    <col min="3844" max="3844" width="10.81640625" customWidth="1"/>
    <col min="3845" max="3845" width="15.6328125" customWidth="1"/>
    <col min="4094" max="4094" width="13.6328125" customWidth="1"/>
    <col min="4095" max="4095" width="17.81640625" customWidth="1"/>
    <col min="4096" max="4096" width="11.81640625" customWidth="1"/>
    <col min="4097" max="4097" width="5.81640625" customWidth="1"/>
    <col min="4098" max="4098" width="10.81640625" customWidth="1"/>
    <col min="4099" max="4099" width="5.81640625" customWidth="1"/>
    <col min="4100" max="4100" width="10.81640625" customWidth="1"/>
    <col min="4101" max="4101" width="15.6328125" customWidth="1"/>
    <col min="4350" max="4350" width="13.6328125" customWidth="1"/>
    <col min="4351" max="4351" width="17.81640625" customWidth="1"/>
    <col min="4352" max="4352" width="11.81640625" customWidth="1"/>
    <col min="4353" max="4353" width="5.81640625" customWidth="1"/>
    <col min="4354" max="4354" width="10.81640625" customWidth="1"/>
    <col min="4355" max="4355" width="5.81640625" customWidth="1"/>
    <col min="4356" max="4356" width="10.81640625" customWidth="1"/>
    <col min="4357" max="4357" width="15.6328125" customWidth="1"/>
    <col min="4606" max="4606" width="13.6328125" customWidth="1"/>
    <col min="4607" max="4607" width="17.81640625" customWidth="1"/>
    <col min="4608" max="4608" width="11.81640625" customWidth="1"/>
    <col min="4609" max="4609" width="5.81640625" customWidth="1"/>
    <col min="4610" max="4610" width="10.81640625" customWidth="1"/>
    <col min="4611" max="4611" width="5.81640625" customWidth="1"/>
    <col min="4612" max="4612" width="10.81640625" customWidth="1"/>
    <col min="4613" max="4613" width="15.6328125" customWidth="1"/>
    <col min="4862" max="4862" width="13.6328125" customWidth="1"/>
    <col min="4863" max="4863" width="17.81640625" customWidth="1"/>
    <col min="4864" max="4864" width="11.81640625" customWidth="1"/>
    <col min="4865" max="4865" width="5.81640625" customWidth="1"/>
    <col min="4866" max="4866" width="10.81640625" customWidth="1"/>
    <col min="4867" max="4867" width="5.81640625" customWidth="1"/>
    <col min="4868" max="4868" width="10.81640625" customWidth="1"/>
    <col min="4869" max="4869" width="15.6328125" customWidth="1"/>
    <col min="5118" max="5118" width="13.6328125" customWidth="1"/>
    <col min="5119" max="5119" width="17.81640625" customWidth="1"/>
    <col min="5120" max="5120" width="11.81640625" customWidth="1"/>
    <col min="5121" max="5121" width="5.81640625" customWidth="1"/>
    <col min="5122" max="5122" width="10.81640625" customWidth="1"/>
    <col min="5123" max="5123" width="5.81640625" customWidth="1"/>
    <col min="5124" max="5124" width="10.81640625" customWidth="1"/>
    <col min="5125" max="5125" width="15.6328125" customWidth="1"/>
    <col min="5374" max="5374" width="13.6328125" customWidth="1"/>
    <col min="5375" max="5375" width="17.81640625" customWidth="1"/>
    <col min="5376" max="5376" width="11.81640625" customWidth="1"/>
    <col min="5377" max="5377" width="5.81640625" customWidth="1"/>
    <col min="5378" max="5378" width="10.81640625" customWidth="1"/>
    <col min="5379" max="5379" width="5.81640625" customWidth="1"/>
    <col min="5380" max="5380" width="10.81640625" customWidth="1"/>
    <col min="5381" max="5381" width="15.6328125" customWidth="1"/>
    <col min="5630" max="5630" width="13.6328125" customWidth="1"/>
    <col min="5631" max="5631" width="17.81640625" customWidth="1"/>
    <col min="5632" max="5632" width="11.81640625" customWidth="1"/>
    <col min="5633" max="5633" width="5.81640625" customWidth="1"/>
    <col min="5634" max="5634" width="10.81640625" customWidth="1"/>
    <col min="5635" max="5635" width="5.81640625" customWidth="1"/>
    <col min="5636" max="5636" width="10.81640625" customWidth="1"/>
    <col min="5637" max="5637" width="15.6328125" customWidth="1"/>
    <col min="5886" max="5886" width="13.6328125" customWidth="1"/>
    <col min="5887" max="5887" width="17.81640625" customWidth="1"/>
    <col min="5888" max="5888" width="11.81640625" customWidth="1"/>
    <col min="5889" max="5889" width="5.81640625" customWidth="1"/>
    <col min="5890" max="5890" width="10.81640625" customWidth="1"/>
    <col min="5891" max="5891" width="5.81640625" customWidth="1"/>
    <col min="5892" max="5892" width="10.81640625" customWidth="1"/>
    <col min="5893" max="5893" width="15.6328125" customWidth="1"/>
    <col min="6142" max="6142" width="13.6328125" customWidth="1"/>
    <col min="6143" max="6143" width="17.81640625" customWidth="1"/>
    <col min="6144" max="6144" width="11.81640625" customWidth="1"/>
    <col min="6145" max="6145" width="5.81640625" customWidth="1"/>
    <col min="6146" max="6146" width="10.81640625" customWidth="1"/>
    <col min="6147" max="6147" width="5.81640625" customWidth="1"/>
    <col min="6148" max="6148" width="10.81640625" customWidth="1"/>
    <col min="6149" max="6149" width="15.6328125" customWidth="1"/>
    <col min="6398" max="6398" width="13.6328125" customWidth="1"/>
    <col min="6399" max="6399" width="17.81640625" customWidth="1"/>
    <col min="6400" max="6400" width="11.81640625" customWidth="1"/>
    <col min="6401" max="6401" width="5.81640625" customWidth="1"/>
    <col min="6402" max="6402" width="10.81640625" customWidth="1"/>
    <col min="6403" max="6403" width="5.81640625" customWidth="1"/>
    <col min="6404" max="6404" width="10.81640625" customWidth="1"/>
    <col min="6405" max="6405" width="15.6328125" customWidth="1"/>
    <col min="6654" max="6654" width="13.6328125" customWidth="1"/>
    <col min="6655" max="6655" width="17.81640625" customWidth="1"/>
    <col min="6656" max="6656" width="11.81640625" customWidth="1"/>
    <col min="6657" max="6657" width="5.81640625" customWidth="1"/>
    <col min="6658" max="6658" width="10.81640625" customWidth="1"/>
    <col min="6659" max="6659" width="5.81640625" customWidth="1"/>
    <col min="6660" max="6660" width="10.81640625" customWidth="1"/>
    <col min="6661" max="6661" width="15.6328125" customWidth="1"/>
    <col min="6910" max="6910" width="13.6328125" customWidth="1"/>
    <col min="6911" max="6911" width="17.81640625" customWidth="1"/>
    <col min="6912" max="6912" width="11.81640625" customWidth="1"/>
    <col min="6913" max="6913" width="5.81640625" customWidth="1"/>
    <col min="6914" max="6914" width="10.81640625" customWidth="1"/>
    <col min="6915" max="6915" width="5.81640625" customWidth="1"/>
    <col min="6916" max="6916" width="10.81640625" customWidth="1"/>
    <col min="6917" max="6917" width="15.6328125" customWidth="1"/>
    <col min="7166" max="7166" width="13.6328125" customWidth="1"/>
    <col min="7167" max="7167" width="17.81640625" customWidth="1"/>
    <col min="7168" max="7168" width="11.81640625" customWidth="1"/>
    <col min="7169" max="7169" width="5.81640625" customWidth="1"/>
    <col min="7170" max="7170" width="10.81640625" customWidth="1"/>
    <col min="7171" max="7171" width="5.81640625" customWidth="1"/>
    <col min="7172" max="7172" width="10.81640625" customWidth="1"/>
    <col min="7173" max="7173" width="15.6328125" customWidth="1"/>
    <col min="7422" max="7422" width="13.6328125" customWidth="1"/>
    <col min="7423" max="7423" width="17.81640625" customWidth="1"/>
    <col min="7424" max="7424" width="11.81640625" customWidth="1"/>
    <col min="7425" max="7425" width="5.81640625" customWidth="1"/>
    <col min="7426" max="7426" width="10.81640625" customWidth="1"/>
    <col min="7427" max="7427" width="5.81640625" customWidth="1"/>
    <col min="7428" max="7428" width="10.81640625" customWidth="1"/>
    <col min="7429" max="7429" width="15.6328125" customWidth="1"/>
    <col min="7678" max="7678" width="13.6328125" customWidth="1"/>
    <col min="7679" max="7679" width="17.81640625" customWidth="1"/>
    <col min="7680" max="7680" width="11.81640625" customWidth="1"/>
    <col min="7681" max="7681" width="5.81640625" customWidth="1"/>
    <col min="7682" max="7682" width="10.81640625" customWidth="1"/>
    <col min="7683" max="7683" width="5.81640625" customWidth="1"/>
    <col min="7684" max="7684" width="10.81640625" customWidth="1"/>
    <col min="7685" max="7685" width="15.6328125" customWidth="1"/>
    <col min="7934" max="7934" width="13.6328125" customWidth="1"/>
    <col min="7935" max="7935" width="17.81640625" customWidth="1"/>
    <col min="7936" max="7936" width="11.81640625" customWidth="1"/>
    <col min="7937" max="7937" width="5.81640625" customWidth="1"/>
    <col min="7938" max="7938" width="10.81640625" customWidth="1"/>
    <col min="7939" max="7939" width="5.81640625" customWidth="1"/>
    <col min="7940" max="7940" width="10.81640625" customWidth="1"/>
    <col min="7941" max="7941" width="15.6328125" customWidth="1"/>
    <col min="8190" max="8190" width="13.6328125" customWidth="1"/>
    <col min="8191" max="8191" width="17.81640625" customWidth="1"/>
    <col min="8192" max="8192" width="11.81640625" customWidth="1"/>
    <col min="8193" max="8193" width="5.81640625" customWidth="1"/>
    <col min="8194" max="8194" width="10.81640625" customWidth="1"/>
    <col min="8195" max="8195" width="5.81640625" customWidth="1"/>
    <col min="8196" max="8196" width="10.81640625" customWidth="1"/>
    <col min="8197" max="8197" width="15.6328125" customWidth="1"/>
    <col min="8446" max="8446" width="13.6328125" customWidth="1"/>
    <col min="8447" max="8447" width="17.81640625" customWidth="1"/>
    <col min="8448" max="8448" width="11.81640625" customWidth="1"/>
    <col min="8449" max="8449" width="5.81640625" customWidth="1"/>
    <col min="8450" max="8450" width="10.81640625" customWidth="1"/>
    <col min="8451" max="8451" width="5.81640625" customWidth="1"/>
    <col min="8452" max="8452" width="10.81640625" customWidth="1"/>
    <col min="8453" max="8453" width="15.6328125" customWidth="1"/>
    <col min="8702" max="8702" width="13.6328125" customWidth="1"/>
    <col min="8703" max="8703" width="17.81640625" customWidth="1"/>
    <col min="8704" max="8704" width="11.81640625" customWidth="1"/>
    <col min="8705" max="8705" width="5.81640625" customWidth="1"/>
    <col min="8706" max="8706" width="10.81640625" customWidth="1"/>
    <col min="8707" max="8707" width="5.81640625" customWidth="1"/>
    <col min="8708" max="8708" width="10.81640625" customWidth="1"/>
    <col min="8709" max="8709" width="15.6328125" customWidth="1"/>
    <col min="8958" max="8958" width="13.6328125" customWidth="1"/>
    <col min="8959" max="8959" width="17.81640625" customWidth="1"/>
    <col min="8960" max="8960" width="11.81640625" customWidth="1"/>
    <col min="8961" max="8961" width="5.81640625" customWidth="1"/>
    <col min="8962" max="8962" width="10.81640625" customWidth="1"/>
    <col min="8963" max="8963" width="5.81640625" customWidth="1"/>
    <col min="8964" max="8964" width="10.81640625" customWidth="1"/>
    <col min="8965" max="8965" width="15.6328125" customWidth="1"/>
    <col min="9214" max="9214" width="13.6328125" customWidth="1"/>
    <col min="9215" max="9215" width="17.81640625" customWidth="1"/>
    <col min="9216" max="9216" width="11.81640625" customWidth="1"/>
    <col min="9217" max="9217" width="5.81640625" customWidth="1"/>
    <col min="9218" max="9218" width="10.81640625" customWidth="1"/>
    <col min="9219" max="9219" width="5.81640625" customWidth="1"/>
    <col min="9220" max="9220" width="10.81640625" customWidth="1"/>
    <col min="9221" max="9221" width="15.6328125" customWidth="1"/>
    <col min="9470" max="9470" width="13.6328125" customWidth="1"/>
    <col min="9471" max="9471" width="17.81640625" customWidth="1"/>
    <col min="9472" max="9472" width="11.81640625" customWidth="1"/>
    <col min="9473" max="9473" width="5.81640625" customWidth="1"/>
    <col min="9474" max="9474" width="10.81640625" customWidth="1"/>
    <col min="9475" max="9475" width="5.81640625" customWidth="1"/>
    <col min="9476" max="9476" width="10.81640625" customWidth="1"/>
    <col min="9477" max="9477" width="15.6328125" customWidth="1"/>
    <col min="9726" max="9726" width="13.6328125" customWidth="1"/>
    <col min="9727" max="9727" width="17.81640625" customWidth="1"/>
    <col min="9728" max="9728" width="11.81640625" customWidth="1"/>
    <col min="9729" max="9729" width="5.81640625" customWidth="1"/>
    <col min="9730" max="9730" width="10.81640625" customWidth="1"/>
    <col min="9731" max="9731" width="5.81640625" customWidth="1"/>
    <col min="9732" max="9732" width="10.81640625" customWidth="1"/>
    <col min="9733" max="9733" width="15.6328125" customWidth="1"/>
    <col min="9982" max="9982" width="13.6328125" customWidth="1"/>
    <col min="9983" max="9983" width="17.81640625" customWidth="1"/>
    <col min="9984" max="9984" width="11.81640625" customWidth="1"/>
    <col min="9985" max="9985" width="5.81640625" customWidth="1"/>
    <col min="9986" max="9986" width="10.81640625" customWidth="1"/>
    <col min="9987" max="9987" width="5.81640625" customWidth="1"/>
    <col min="9988" max="9988" width="10.81640625" customWidth="1"/>
    <col min="9989" max="9989" width="15.6328125" customWidth="1"/>
    <col min="10238" max="10238" width="13.6328125" customWidth="1"/>
    <col min="10239" max="10239" width="17.81640625" customWidth="1"/>
    <col min="10240" max="10240" width="11.81640625" customWidth="1"/>
    <col min="10241" max="10241" width="5.81640625" customWidth="1"/>
    <col min="10242" max="10242" width="10.81640625" customWidth="1"/>
    <col min="10243" max="10243" width="5.81640625" customWidth="1"/>
    <col min="10244" max="10244" width="10.81640625" customWidth="1"/>
    <col min="10245" max="10245" width="15.6328125" customWidth="1"/>
    <col min="10494" max="10494" width="13.6328125" customWidth="1"/>
    <col min="10495" max="10495" width="17.81640625" customWidth="1"/>
    <col min="10496" max="10496" width="11.81640625" customWidth="1"/>
    <col min="10497" max="10497" width="5.81640625" customWidth="1"/>
    <col min="10498" max="10498" width="10.81640625" customWidth="1"/>
    <col min="10499" max="10499" width="5.81640625" customWidth="1"/>
    <col min="10500" max="10500" width="10.81640625" customWidth="1"/>
    <col min="10501" max="10501" width="15.6328125" customWidth="1"/>
    <col min="10750" max="10750" width="13.6328125" customWidth="1"/>
    <col min="10751" max="10751" width="17.81640625" customWidth="1"/>
    <col min="10752" max="10752" width="11.81640625" customWidth="1"/>
    <col min="10753" max="10753" width="5.81640625" customWidth="1"/>
    <col min="10754" max="10754" width="10.81640625" customWidth="1"/>
    <col min="10755" max="10755" width="5.81640625" customWidth="1"/>
    <col min="10756" max="10756" width="10.81640625" customWidth="1"/>
    <col min="10757" max="10757" width="15.6328125" customWidth="1"/>
    <col min="11006" max="11006" width="13.6328125" customWidth="1"/>
    <col min="11007" max="11007" width="17.81640625" customWidth="1"/>
    <col min="11008" max="11008" width="11.81640625" customWidth="1"/>
    <col min="11009" max="11009" width="5.81640625" customWidth="1"/>
    <col min="11010" max="11010" width="10.81640625" customWidth="1"/>
    <col min="11011" max="11011" width="5.81640625" customWidth="1"/>
    <col min="11012" max="11012" width="10.81640625" customWidth="1"/>
    <col min="11013" max="11013" width="15.6328125" customWidth="1"/>
    <col min="11262" max="11262" width="13.6328125" customWidth="1"/>
    <col min="11263" max="11263" width="17.81640625" customWidth="1"/>
    <col min="11264" max="11264" width="11.81640625" customWidth="1"/>
    <col min="11265" max="11265" width="5.81640625" customWidth="1"/>
    <col min="11266" max="11266" width="10.81640625" customWidth="1"/>
    <col min="11267" max="11267" width="5.81640625" customWidth="1"/>
    <col min="11268" max="11268" width="10.81640625" customWidth="1"/>
    <col min="11269" max="11269" width="15.6328125" customWidth="1"/>
    <col min="11518" max="11518" width="13.6328125" customWidth="1"/>
    <col min="11519" max="11519" width="17.81640625" customWidth="1"/>
    <col min="11520" max="11520" width="11.81640625" customWidth="1"/>
    <col min="11521" max="11521" width="5.81640625" customWidth="1"/>
    <col min="11522" max="11522" width="10.81640625" customWidth="1"/>
    <col min="11523" max="11523" width="5.81640625" customWidth="1"/>
    <col min="11524" max="11524" width="10.81640625" customWidth="1"/>
    <col min="11525" max="11525" width="15.6328125" customWidth="1"/>
    <col min="11774" max="11774" width="13.6328125" customWidth="1"/>
    <col min="11775" max="11775" width="17.81640625" customWidth="1"/>
    <col min="11776" max="11776" width="11.81640625" customWidth="1"/>
    <col min="11777" max="11777" width="5.81640625" customWidth="1"/>
    <col min="11778" max="11778" width="10.81640625" customWidth="1"/>
    <col min="11779" max="11779" width="5.81640625" customWidth="1"/>
    <col min="11780" max="11780" width="10.81640625" customWidth="1"/>
    <col min="11781" max="11781" width="15.6328125" customWidth="1"/>
    <col min="12030" max="12030" width="13.6328125" customWidth="1"/>
    <col min="12031" max="12031" width="17.81640625" customWidth="1"/>
    <col min="12032" max="12032" width="11.81640625" customWidth="1"/>
    <col min="12033" max="12033" width="5.81640625" customWidth="1"/>
    <col min="12034" max="12034" width="10.81640625" customWidth="1"/>
    <col min="12035" max="12035" width="5.81640625" customWidth="1"/>
    <col min="12036" max="12036" width="10.81640625" customWidth="1"/>
    <col min="12037" max="12037" width="15.6328125" customWidth="1"/>
    <col min="12286" max="12286" width="13.6328125" customWidth="1"/>
    <col min="12287" max="12287" width="17.81640625" customWidth="1"/>
    <col min="12288" max="12288" width="11.81640625" customWidth="1"/>
    <col min="12289" max="12289" width="5.81640625" customWidth="1"/>
    <col min="12290" max="12290" width="10.81640625" customWidth="1"/>
    <col min="12291" max="12291" width="5.81640625" customWidth="1"/>
    <col min="12292" max="12292" width="10.81640625" customWidth="1"/>
    <col min="12293" max="12293" width="15.6328125" customWidth="1"/>
    <col min="12542" max="12542" width="13.6328125" customWidth="1"/>
    <col min="12543" max="12543" width="17.81640625" customWidth="1"/>
    <col min="12544" max="12544" width="11.81640625" customWidth="1"/>
    <col min="12545" max="12545" width="5.81640625" customWidth="1"/>
    <col min="12546" max="12546" width="10.81640625" customWidth="1"/>
    <col min="12547" max="12547" width="5.81640625" customWidth="1"/>
    <col min="12548" max="12548" width="10.81640625" customWidth="1"/>
    <col min="12549" max="12549" width="15.6328125" customWidth="1"/>
    <col min="12798" max="12798" width="13.6328125" customWidth="1"/>
    <col min="12799" max="12799" width="17.81640625" customWidth="1"/>
    <col min="12800" max="12800" width="11.81640625" customWidth="1"/>
    <col min="12801" max="12801" width="5.81640625" customWidth="1"/>
    <col min="12802" max="12802" width="10.81640625" customWidth="1"/>
    <col min="12803" max="12803" width="5.81640625" customWidth="1"/>
    <col min="12804" max="12804" width="10.81640625" customWidth="1"/>
    <col min="12805" max="12805" width="15.6328125" customWidth="1"/>
    <col min="13054" max="13054" width="13.6328125" customWidth="1"/>
    <col min="13055" max="13055" width="17.81640625" customWidth="1"/>
    <col min="13056" max="13056" width="11.81640625" customWidth="1"/>
    <col min="13057" max="13057" width="5.81640625" customWidth="1"/>
    <col min="13058" max="13058" width="10.81640625" customWidth="1"/>
    <col min="13059" max="13059" width="5.81640625" customWidth="1"/>
    <col min="13060" max="13060" width="10.81640625" customWidth="1"/>
    <col min="13061" max="13061" width="15.6328125" customWidth="1"/>
    <col min="13310" max="13310" width="13.6328125" customWidth="1"/>
    <col min="13311" max="13311" width="17.81640625" customWidth="1"/>
    <col min="13312" max="13312" width="11.81640625" customWidth="1"/>
    <col min="13313" max="13313" width="5.81640625" customWidth="1"/>
    <col min="13314" max="13314" width="10.81640625" customWidth="1"/>
    <col min="13315" max="13315" width="5.81640625" customWidth="1"/>
    <col min="13316" max="13316" width="10.81640625" customWidth="1"/>
    <col min="13317" max="13317" width="15.6328125" customWidth="1"/>
    <col min="13566" max="13566" width="13.6328125" customWidth="1"/>
    <col min="13567" max="13567" width="17.81640625" customWidth="1"/>
    <col min="13568" max="13568" width="11.81640625" customWidth="1"/>
    <col min="13569" max="13569" width="5.81640625" customWidth="1"/>
    <col min="13570" max="13570" width="10.81640625" customWidth="1"/>
    <col min="13571" max="13571" width="5.81640625" customWidth="1"/>
    <col min="13572" max="13572" width="10.81640625" customWidth="1"/>
    <col min="13573" max="13573" width="15.6328125" customWidth="1"/>
    <col min="13822" max="13822" width="13.6328125" customWidth="1"/>
    <col min="13823" max="13823" width="17.81640625" customWidth="1"/>
    <col min="13824" max="13824" width="11.81640625" customWidth="1"/>
    <col min="13825" max="13825" width="5.81640625" customWidth="1"/>
    <col min="13826" max="13826" width="10.81640625" customWidth="1"/>
    <col min="13827" max="13827" width="5.81640625" customWidth="1"/>
    <col min="13828" max="13828" width="10.81640625" customWidth="1"/>
    <col min="13829" max="13829" width="15.6328125" customWidth="1"/>
    <col min="14078" max="14078" width="13.6328125" customWidth="1"/>
    <col min="14079" max="14079" width="17.81640625" customWidth="1"/>
    <col min="14080" max="14080" width="11.81640625" customWidth="1"/>
    <col min="14081" max="14081" width="5.81640625" customWidth="1"/>
    <col min="14082" max="14082" width="10.81640625" customWidth="1"/>
    <col min="14083" max="14083" width="5.81640625" customWidth="1"/>
    <col min="14084" max="14084" width="10.81640625" customWidth="1"/>
    <col min="14085" max="14085" width="15.6328125" customWidth="1"/>
    <col min="14334" max="14334" width="13.6328125" customWidth="1"/>
    <col min="14335" max="14335" width="17.81640625" customWidth="1"/>
    <col min="14336" max="14336" width="11.81640625" customWidth="1"/>
    <col min="14337" max="14337" width="5.81640625" customWidth="1"/>
    <col min="14338" max="14338" width="10.81640625" customWidth="1"/>
    <col min="14339" max="14339" width="5.81640625" customWidth="1"/>
    <col min="14340" max="14340" width="10.81640625" customWidth="1"/>
    <col min="14341" max="14341" width="15.6328125" customWidth="1"/>
    <col min="14590" max="14590" width="13.6328125" customWidth="1"/>
    <col min="14591" max="14591" width="17.81640625" customWidth="1"/>
    <col min="14592" max="14592" width="11.81640625" customWidth="1"/>
    <col min="14593" max="14593" width="5.81640625" customWidth="1"/>
    <col min="14594" max="14594" width="10.81640625" customWidth="1"/>
    <col min="14595" max="14595" width="5.81640625" customWidth="1"/>
    <col min="14596" max="14596" width="10.81640625" customWidth="1"/>
    <col min="14597" max="14597" width="15.6328125" customWidth="1"/>
    <col min="14846" max="14846" width="13.6328125" customWidth="1"/>
    <col min="14847" max="14847" width="17.81640625" customWidth="1"/>
    <col min="14848" max="14848" width="11.81640625" customWidth="1"/>
    <col min="14849" max="14849" width="5.81640625" customWidth="1"/>
    <col min="14850" max="14850" width="10.81640625" customWidth="1"/>
    <col min="14851" max="14851" width="5.81640625" customWidth="1"/>
    <col min="14852" max="14852" width="10.81640625" customWidth="1"/>
    <col min="14853" max="14853" width="15.6328125" customWidth="1"/>
    <col min="15102" max="15102" width="13.6328125" customWidth="1"/>
    <col min="15103" max="15103" width="17.81640625" customWidth="1"/>
    <col min="15104" max="15104" width="11.81640625" customWidth="1"/>
    <col min="15105" max="15105" width="5.81640625" customWidth="1"/>
    <col min="15106" max="15106" width="10.81640625" customWidth="1"/>
    <col min="15107" max="15107" width="5.81640625" customWidth="1"/>
    <col min="15108" max="15108" width="10.81640625" customWidth="1"/>
    <col min="15109" max="15109" width="15.6328125" customWidth="1"/>
    <col min="15358" max="15358" width="13.6328125" customWidth="1"/>
    <col min="15359" max="15359" width="17.81640625" customWidth="1"/>
    <col min="15360" max="15360" width="11.81640625" customWidth="1"/>
    <col min="15361" max="15361" width="5.81640625" customWidth="1"/>
    <col min="15362" max="15362" width="10.81640625" customWidth="1"/>
    <col min="15363" max="15363" width="5.81640625" customWidth="1"/>
    <col min="15364" max="15364" width="10.81640625" customWidth="1"/>
    <col min="15365" max="15365" width="15.6328125" customWidth="1"/>
    <col min="15614" max="15614" width="13.6328125" customWidth="1"/>
    <col min="15615" max="15615" width="17.81640625" customWidth="1"/>
    <col min="15616" max="15616" width="11.81640625" customWidth="1"/>
    <col min="15617" max="15617" width="5.81640625" customWidth="1"/>
    <col min="15618" max="15618" width="10.81640625" customWidth="1"/>
    <col min="15619" max="15619" width="5.81640625" customWidth="1"/>
    <col min="15620" max="15620" width="10.81640625" customWidth="1"/>
    <col min="15621" max="15621" width="15.6328125" customWidth="1"/>
    <col min="15870" max="15870" width="13.6328125" customWidth="1"/>
    <col min="15871" max="15871" width="17.81640625" customWidth="1"/>
    <col min="15872" max="15872" width="11.81640625" customWidth="1"/>
    <col min="15873" max="15873" width="5.81640625" customWidth="1"/>
    <col min="15874" max="15874" width="10.81640625" customWidth="1"/>
    <col min="15875" max="15875" width="5.81640625" customWidth="1"/>
    <col min="15876" max="15876" width="10.81640625" customWidth="1"/>
    <col min="15877" max="15877" width="15.6328125" customWidth="1"/>
    <col min="16126" max="16126" width="13.6328125" customWidth="1"/>
    <col min="16127" max="16127" width="17.81640625" customWidth="1"/>
    <col min="16128" max="16128" width="11.81640625" customWidth="1"/>
    <col min="16129" max="16129" width="5.81640625" customWidth="1"/>
    <col min="16130" max="16130" width="10.81640625" customWidth="1"/>
    <col min="16131" max="16131" width="5.81640625" customWidth="1"/>
    <col min="16132" max="16132" width="10.81640625" customWidth="1"/>
    <col min="16133" max="16133" width="15.6328125" customWidth="1"/>
  </cols>
  <sheetData>
    <row r="1" spans="1:250" ht="21" x14ac:dyDescent="0.4">
      <c r="A1" s="19" t="s">
        <v>73</v>
      </c>
      <c r="B1" s="20"/>
    </row>
    <row r="2" spans="1:250" ht="21" x14ac:dyDescent="0.4">
      <c r="A2" s="19" t="s">
        <v>99</v>
      </c>
      <c r="B2" s="19" t="s">
        <v>189</v>
      </c>
    </row>
    <row r="4" spans="1:250" ht="17.399999999999999" x14ac:dyDescent="0.3">
      <c r="A4" s="21" t="s">
        <v>74</v>
      </c>
      <c r="C4" s="22"/>
    </row>
    <row r="5" spans="1:250" x14ac:dyDescent="0.3">
      <c r="C5" s="22">
        <v>2024</v>
      </c>
      <c r="D5" s="24">
        <v>2025</v>
      </c>
      <c r="IP5"/>
    </row>
    <row r="6" spans="1:250" x14ac:dyDescent="0.3">
      <c r="C6" s="22" t="s">
        <v>96</v>
      </c>
      <c r="D6" s="24" t="s">
        <v>100</v>
      </c>
      <c r="IP6"/>
    </row>
    <row r="7" spans="1:250" x14ac:dyDescent="0.3">
      <c r="C7" s="22" t="s">
        <v>75</v>
      </c>
      <c r="D7" s="24" t="s">
        <v>75</v>
      </c>
      <c r="IP7"/>
    </row>
    <row r="8" spans="1:250" x14ac:dyDescent="0.3">
      <c r="IP8"/>
    </row>
    <row r="9" spans="1:250" x14ac:dyDescent="0.3">
      <c r="A9" s="1" t="s">
        <v>76</v>
      </c>
      <c r="C9" s="2">
        <f>27650/158*20</f>
        <v>3500</v>
      </c>
      <c r="D9" s="40">
        <f>30000/158*20-9</f>
        <v>3788.4683544303798</v>
      </c>
      <c r="IP9"/>
    </row>
    <row r="10" spans="1:250" x14ac:dyDescent="0.3">
      <c r="A10" s="1" t="s">
        <v>77</v>
      </c>
      <c r="C10" s="2">
        <v>2760</v>
      </c>
      <c r="D10" s="40">
        <v>2150</v>
      </c>
      <c r="IP10"/>
    </row>
    <row r="11" spans="1:250" x14ac:dyDescent="0.3">
      <c r="A11" s="1" t="s">
        <v>78</v>
      </c>
      <c r="C11" s="25">
        <v>2000</v>
      </c>
      <c r="D11" s="87">
        <v>3000</v>
      </c>
      <c r="IP11"/>
    </row>
    <row r="12" spans="1:250" s="27" customFormat="1" ht="18" thickBot="1" x14ac:dyDescent="0.35">
      <c r="A12" s="26" t="s">
        <v>79</v>
      </c>
      <c r="C12" s="71">
        <f>SUM(C9:C11)</f>
        <v>8260</v>
      </c>
      <c r="D12" s="88">
        <f>SUM(D9:D11)</f>
        <v>8938.4683544303807</v>
      </c>
    </row>
    <row r="13" spans="1:250" ht="16.2" thickTop="1" x14ac:dyDescent="0.3">
      <c r="C13" s="2"/>
      <c r="D13" s="40"/>
      <c r="IP13"/>
    </row>
    <row r="14" spans="1:250" x14ac:dyDescent="0.3">
      <c r="A14" s="1" t="s">
        <v>80</v>
      </c>
      <c r="C14" s="2">
        <v>1000</v>
      </c>
      <c r="D14" s="40">
        <v>0</v>
      </c>
      <c r="IP14"/>
    </row>
    <row r="15" spans="1:250" x14ac:dyDescent="0.3">
      <c r="A15" s="1" t="s">
        <v>81</v>
      </c>
      <c r="C15" s="25">
        <v>10533</v>
      </c>
      <c r="D15" s="87">
        <v>8550</v>
      </c>
      <c r="IP15"/>
    </row>
    <row r="16" spans="1:250" s="27" customFormat="1" ht="18" thickBot="1" x14ac:dyDescent="0.35">
      <c r="A16" s="26" t="s">
        <v>79</v>
      </c>
      <c r="C16" s="71">
        <f>(C14+C15)</f>
        <v>11533</v>
      </c>
      <c r="D16" s="88">
        <f>D14+D15</f>
        <v>8550</v>
      </c>
    </row>
    <row r="17" spans="1:250" ht="16.2" thickTop="1" x14ac:dyDescent="0.3">
      <c r="C17" s="2"/>
      <c r="D17" s="40"/>
      <c r="IP17"/>
    </row>
    <row r="18" spans="1:250" x14ac:dyDescent="0.3">
      <c r="A18" s="1" t="s">
        <v>82</v>
      </c>
      <c r="C18" s="2">
        <v>5800</v>
      </c>
      <c r="D18" s="40">
        <v>6380</v>
      </c>
      <c r="IP18"/>
    </row>
    <row r="19" spans="1:250" x14ac:dyDescent="0.3">
      <c r="A19" s="1" t="s">
        <v>83</v>
      </c>
      <c r="C19" s="25"/>
      <c r="D19" s="87">
        <v>122687</v>
      </c>
      <c r="IP19"/>
    </row>
    <row r="20" spans="1:250" s="27" customFormat="1" ht="18" thickBot="1" x14ac:dyDescent="0.35">
      <c r="A20" s="26" t="s">
        <v>79</v>
      </c>
      <c r="C20" s="71">
        <f>(C18+C19)</f>
        <v>5800</v>
      </c>
      <c r="D20" s="88">
        <f>D18+D19</f>
        <v>129067</v>
      </c>
    </row>
    <row r="21" spans="1:250" ht="16.2" thickTop="1" x14ac:dyDescent="0.3">
      <c r="IP21"/>
    </row>
    <row r="22" spans="1:250" x14ac:dyDescent="0.3">
      <c r="IP22"/>
    </row>
    <row r="23" spans="1:250" s="27" customFormat="1" ht="17.399999999999999" x14ac:dyDescent="0.3">
      <c r="A23" s="31" t="s">
        <v>84</v>
      </c>
      <c r="C23" s="30">
        <f>SUM(C12+C16+C20)</f>
        <v>25593</v>
      </c>
      <c r="D23" s="29">
        <f>D12+D16+D20</f>
        <v>146555.46835443037</v>
      </c>
    </row>
    <row r="24" spans="1:250" s="27" customFormat="1" ht="17.399999999999999" x14ac:dyDescent="0.3">
      <c r="A24" s="31" t="s">
        <v>85</v>
      </c>
      <c r="C24" s="72">
        <v>95091</v>
      </c>
      <c r="D24" s="86">
        <f>'2025 Budget'!D97</f>
        <v>99008.674698795192</v>
      </c>
    </row>
    <row r="25" spans="1:250" s="27" customFormat="1" ht="18" thickBot="1" x14ac:dyDescent="0.35">
      <c r="A25" s="31" t="s">
        <v>86</v>
      </c>
      <c r="C25" s="73">
        <f>(C23+C24)</f>
        <v>120684</v>
      </c>
      <c r="D25" s="88">
        <f>SUM(D23+D24)</f>
        <v>245564.14305322556</v>
      </c>
      <c r="E25" s="30"/>
    </row>
    <row r="26" spans="1:250" s="27" customFormat="1" ht="18" thickTop="1" x14ac:dyDescent="0.3">
      <c r="A26" s="31"/>
      <c r="C26" s="30"/>
      <c r="D26" s="29"/>
      <c r="E26" s="30"/>
      <c r="F26" s="30"/>
    </row>
    <row r="27" spans="1:250" s="27" customFormat="1" ht="17.399999999999999" x14ac:dyDescent="0.3">
      <c r="A27" s="31" t="s">
        <v>87</v>
      </c>
      <c r="C27" s="30"/>
      <c r="D27" s="29"/>
      <c r="E27" s="30"/>
      <c r="F27" s="30"/>
    </row>
    <row r="28" spans="1:250" x14ac:dyDescent="0.3">
      <c r="C28" s="17"/>
      <c r="D28" s="68"/>
      <c r="E28" s="2"/>
      <c r="F28" s="2"/>
      <c r="G28" s="35"/>
    </row>
    <row r="29" spans="1:250" ht="16.8" x14ac:dyDescent="0.3">
      <c r="A29" s="36" t="s">
        <v>153</v>
      </c>
      <c r="C29" s="17"/>
      <c r="D29" s="68"/>
      <c r="E29" s="2"/>
      <c r="F29" s="2"/>
      <c r="G29" s="35"/>
    </row>
    <row r="30" spans="1:250" x14ac:dyDescent="0.3">
      <c r="C30" s="22"/>
      <c r="D30" s="24" t="s">
        <v>152</v>
      </c>
    </row>
    <row r="31" spans="1:250" x14ac:dyDescent="0.3">
      <c r="C31" s="22"/>
      <c r="D31" s="24"/>
    </row>
    <row r="32" spans="1:250" x14ac:dyDescent="0.3">
      <c r="A32" s="23" t="s">
        <v>144</v>
      </c>
      <c r="B32" s="23" t="s">
        <v>97</v>
      </c>
      <c r="C32" s="38"/>
      <c r="D32" s="74">
        <f>D23</f>
        <v>146555.46835443037</v>
      </c>
      <c r="E32" s="2"/>
      <c r="F32" s="2"/>
    </row>
    <row r="33" spans="1:6" x14ac:dyDescent="0.3">
      <c r="A33" s="23" t="s">
        <v>145</v>
      </c>
      <c r="C33" s="38"/>
      <c r="D33" s="74">
        <f>D24</f>
        <v>99008.674698795192</v>
      </c>
      <c r="E33" s="2"/>
      <c r="F33" s="2"/>
    </row>
    <row r="34" spans="1:6" ht="18" thickBot="1" x14ac:dyDescent="0.35">
      <c r="A34" s="23" t="s">
        <v>146</v>
      </c>
      <c r="C34" s="38"/>
      <c r="D34" s="39">
        <f>D23+D24</f>
        <v>245564.14305322556</v>
      </c>
      <c r="E34" s="2"/>
    </row>
    <row r="35" spans="1:6" ht="16.2" thickTop="1" x14ac:dyDescent="0.3">
      <c r="A35" s="23"/>
      <c r="C35" s="38"/>
      <c r="D35" s="48"/>
      <c r="E35" s="2"/>
    </row>
    <row r="36" spans="1:6" ht="17.399999999999999" x14ac:dyDescent="0.3">
      <c r="A36" s="23" t="s">
        <v>147</v>
      </c>
      <c r="C36" s="38"/>
      <c r="D36" s="89">
        <v>34000</v>
      </c>
      <c r="E36" s="2"/>
    </row>
    <row r="37" spans="1:6" x14ac:dyDescent="0.3">
      <c r="A37" s="23" t="s">
        <v>154</v>
      </c>
      <c r="C37" s="38"/>
      <c r="D37" s="48"/>
      <c r="E37" s="2"/>
    </row>
    <row r="38" spans="1:6" ht="18" thickBot="1" x14ac:dyDescent="0.35">
      <c r="A38" s="23" t="s">
        <v>155</v>
      </c>
      <c r="C38" s="38"/>
      <c r="D38" s="97">
        <f>D34+D36</f>
        <v>279564.14305322559</v>
      </c>
      <c r="E38" s="2"/>
    </row>
    <row r="39" spans="1:6" ht="16.2" thickTop="1" x14ac:dyDescent="0.3">
      <c r="C39" s="41"/>
      <c r="D39" s="69"/>
      <c r="E39" s="2"/>
    </row>
    <row r="40" spans="1:6" ht="17.399999999999999" x14ac:dyDescent="0.3">
      <c r="A40" s="21"/>
      <c r="C40" s="43"/>
      <c r="D40" s="29"/>
      <c r="E40" s="91"/>
    </row>
    <row r="42" spans="1:6" x14ac:dyDescent="0.3">
      <c r="A42" s="23" t="s">
        <v>156</v>
      </c>
      <c r="D42" s="48"/>
    </row>
    <row r="43" spans="1:6" x14ac:dyDescent="0.3">
      <c r="A43" s="23"/>
      <c r="D43" s="69"/>
    </row>
    <row r="44" spans="1:6" x14ac:dyDescent="0.3">
      <c r="A44" s="23" t="s">
        <v>157</v>
      </c>
      <c r="B44" s="23"/>
      <c r="D44" s="53">
        <v>4809</v>
      </c>
    </row>
    <row r="45" spans="1:6" ht="17.399999999999999" x14ac:dyDescent="0.3">
      <c r="A45" s="21" t="s">
        <v>106</v>
      </c>
      <c r="D45" s="90">
        <v>425</v>
      </c>
    </row>
    <row r="46" spans="1:6" ht="15.75" customHeight="1" thickBot="1" x14ac:dyDescent="0.35">
      <c r="A46" s="23" t="s">
        <v>116</v>
      </c>
      <c r="D46" s="98">
        <f>D44+D45</f>
        <v>5234</v>
      </c>
    </row>
    <row r="47" spans="1:6" ht="16.2" thickTop="1" x14ac:dyDescent="0.3">
      <c r="A47" s="23"/>
      <c r="D47" s="53"/>
    </row>
    <row r="48" spans="1:6" x14ac:dyDescent="0.3">
      <c r="A48" s="23" t="s">
        <v>120</v>
      </c>
      <c r="B48" s="23"/>
      <c r="D48" s="53">
        <v>1330</v>
      </c>
    </row>
    <row r="49" spans="1:5" x14ac:dyDescent="0.3">
      <c r="A49" s="23" t="s">
        <v>106</v>
      </c>
      <c r="B49" s="23"/>
      <c r="D49" s="90">
        <v>425</v>
      </c>
    </row>
    <row r="50" spans="1:5" ht="16.2" thickBot="1" x14ac:dyDescent="0.35">
      <c r="A50" s="23" t="s">
        <v>116</v>
      </c>
      <c r="B50" s="23"/>
      <c r="D50" s="98">
        <f>D48+D49</f>
        <v>1755</v>
      </c>
    </row>
    <row r="51" spans="1:5" ht="16.2" thickTop="1" x14ac:dyDescent="0.3">
      <c r="A51" s="44"/>
      <c r="B51" s="23"/>
      <c r="D51" s="53"/>
    </row>
    <row r="52" spans="1:5" x14ac:dyDescent="0.3">
      <c r="A52" s="23" t="s">
        <v>158</v>
      </c>
      <c r="B52" s="23" t="s">
        <v>175</v>
      </c>
      <c r="D52" s="53">
        <f>13978*20</f>
        <v>279560</v>
      </c>
    </row>
    <row r="53" spans="1:5" x14ac:dyDescent="0.3">
      <c r="C53" s="2"/>
      <c r="D53" s="53"/>
      <c r="E53" s="2"/>
    </row>
    <row r="54" spans="1:5" x14ac:dyDescent="0.3">
      <c r="A54" s="23"/>
      <c r="D54" s="53"/>
    </row>
    <row r="55" spans="1:5" x14ac:dyDescent="0.3">
      <c r="A55" s="23"/>
      <c r="D55" s="53"/>
    </row>
    <row r="56" spans="1:5" x14ac:dyDescent="0.3">
      <c r="A56" s="23" t="s">
        <v>169</v>
      </c>
      <c r="C56" s="84">
        <v>12532</v>
      </c>
      <c r="D56" s="53"/>
    </row>
    <row r="57" spans="1:5" x14ac:dyDescent="0.3">
      <c r="A57" s="23" t="s">
        <v>172</v>
      </c>
      <c r="C57" s="84">
        <v>1250</v>
      </c>
      <c r="D57" s="53"/>
    </row>
    <row r="58" spans="1:5" x14ac:dyDescent="0.3">
      <c r="A58" s="23" t="s">
        <v>173</v>
      </c>
      <c r="C58" s="84"/>
      <c r="D58" s="53">
        <f>C56+C57</f>
        <v>13782</v>
      </c>
    </row>
    <row r="59" spans="1:5" x14ac:dyDescent="0.3">
      <c r="A59" s="23" t="s">
        <v>170</v>
      </c>
      <c r="D59" s="53">
        <f>13934-13782</f>
        <v>152</v>
      </c>
    </row>
    <row r="60" spans="1:5" x14ac:dyDescent="0.3">
      <c r="D60" s="53"/>
    </row>
    <row r="61" spans="1:5" x14ac:dyDescent="0.3">
      <c r="D61" s="53"/>
    </row>
    <row r="62" spans="1:5" x14ac:dyDescent="0.3">
      <c r="A62" s="23" t="s">
        <v>180</v>
      </c>
    </row>
  </sheetData>
  <phoneticPr fontId="16" type="noConversion"/>
  <pageMargins left="0.7" right="0.7" top="0.75" bottom="0.75" header="0.3" footer="0.3"/>
  <pageSetup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845F-D702-40B1-8621-94BE73B0241F}">
  <sheetPr>
    <pageSetUpPr fitToPage="1"/>
  </sheetPr>
  <dimension ref="A1:IQ59"/>
  <sheetViews>
    <sheetView topLeftCell="A20" workbookViewId="0">
      <selection activeCell="B29" sqref="B29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3.90625" style="1" customWidth="1"/>
    <col min="4" max="4" width="14.90625" style="23" customWidth="1"/>
    <col min="5" max="5" width="10.81640625" style="1" customWidth="1"/>
    <col min="6" max="6" width="11.36328125" style="23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251" ht="21" x14ac:dyDescent="0.4">
      <c r="A1" s="19" t="s">
        <v>73</v>
      </c>
      <c r="B1" s="20"/>
    </row>
    <row r="2" spans="1:251" ht="21" x14ac:dyDescent="0.4">
      <c r="A2" s="19" t="s">
        <v>101</v>
      </c>
      <c r="B2" s="19" t="s">
        <v>189</v>
      </c>
    </row>
    <row r="4" spans="1:251" ht="17.399999999999999" x14ac:dyDescent="0.3">
      <c r="A4" s="21" t="s">
        <v>93</v>
      </c>
      <c r="C4" s="22"/>
      <c r="E4" s="22"/>
    </row>
    <row r="5" spans="1:251" x14ac:dyDescent="0.3">
      <c r="C5" s="22">
        <v>2024</v>
      </c>
      <c r="D5" s="24">
        <v>2025</v>
      </c>
      <c r="E5" s="22"/>
      <c r="F5" s="24"/>
      <c r="IQ5"/>
    </row>
    <row r="6" spans="1:251" x14ac:dyDescent="0.3">
      <c r="C6" s="22" t="s">
        <v>96</v>
      </c>
      <c r="D6" s="24" t="s">
        <v>100</v>
      </c>
      <c r="E6" s="22"/>
      <c r="F6" s="24"/>
      <c r="IQ6"/>
    </row>
    <row r="7" spans="1:251" x14ac:dyDescent="0.3">
      <c r="C7" s="22" t="s">
        <v>75</v>
      </c>
      <c r="D7" s="24" t="s">
        <v>75</v>
      </c>
      <c r="E7" s="22"/>
      <c r="F7" s="24"/>
      <c r="IQ7"/>
    </row>
    <row r="8" spans="1:251" x14ac:dyDescent="0.3">
      <c r="IQ8"/>
    </row>
    <row r="9" spans="1:251" x14ac:dyDescent="0.3">
      <c r="A9" s="1" t="s">
        <v>76</v>
      </c>
      <c r="C9" s="2">
        <f>27650/158*22</f>
        <v>3850</v>
      </c>
      <c r="D9" s="40">
        <f>30000/158*22-8</f>
        <v>4169.2151898734173</v>
      </c>
      <c r="E9" s="2"/>
      <c r="IQ9"/>
    </row>
    <row r="10" spans="1:251" x14ac:dyDescent="0.3">
      <c r="A10" s="1" t="s">
        <v>77</v>
      </c>
      <c r="C10" s="2">
        <v>2760</v>
      </c>
      <c r="D10" s="40">
        <v>2150</v>
      </c>
      <c r="E10" s="2"/>
      <c r="IQ10"/>
    </row>
    <row r="11" spans="1:251" x14ac:dyDescent="0.3">
      <c r="A11" s="1" t="s">
        <v>78</v>
      </c>
      <c r="C11" s="25">
        <v>2000</v>
      </c>
      <c r="D11" s="67">
        <v>4000</v>
      </c>
      <c r="E11" s="2"/>
      <c r="F11" s="40"/>
      <c r="IQ11"/>
    </row>
    <row r="12" spans="1:251" s="27" customFormat="1" ht="18" thickBot="1" x14ac:dyDescent="0.35">
      <c r="A12" s="26" t="s">
        <v>79</v>
      </c>
      <c r="C12" s="71">
        <f>SUM(C9:C11)</f>
        <v>8610</v>
      </c>
      <c r="D12" s="28">
        <f>SUM(D9:D11)</f>
        <v>10319.215189873417</v>
      </c>
      <c r="E12" s="99"/>
      <c r="F12" s="29"/>
    </row>
    <row r="13" spans="1:251" ht="16.2" thickTop="1" x14ac:dyDescent="0.3">
      <c r="C13" s="2"/>
      <c r="D13" s="40"/>
      <c r="E13" s="2"/>
      <c r="IQ13"/>
    </row>
    <row r="14" spans="1:251" x14ac:dyDescent="0.3">
      <c r="A14" s="1" t="s">
        <v>80</v>
      </c>
      <c r="C14" s="2">
        <v>1000</v>
      </c>
      <c r="D14" s="40">
        <v>0</v>
      </c>
      <c r="E14" s="2"/>
      <c r="F14" s="40"/>
      <c r="IQ14"/>
    </row>
    <row r="15" spans="1:251" x14ac:dyDescent="0.3">
      <c r="A15" s="1" t="s">
        <v>81</v>
      </c>
      <c r="C15" s="25">
        <v>11653</v>
      </c>
      <c r="D15" s="67">
        <v>9395</v>
      </c>
      <c r="E15" s="2"/>
      <c r="F15" s="40"/>
      <c r="IQ15"/>
    </row>
    <row r="16" spans="1:251" s="27" customFormat="1" ht="18" thickBot="1" x14ac:dyDescent="0.35">
      <c r="A16" s="26" t="s">
        <v>79</v>
      </c>
      <c r="C16" s="71">
        <f>SUM(C14:C15)</f>
        <v>12653</v>
      </c>
      <c r="D16" s="28">
        <f>D15</f>
        <v>9395</v>
      </c>
      <c r="E16" s="30"/>
      <c r="F16" s="29"/>
    </row>
    <row r="17" spans="1:251" ht="16.2" thickTop="1" x14ac:dyDescent="0.3">
      <c r="C17" s="2"/>
      <c r="D17" s="40"/>
      <c r="E17" s="2"/>
      <c r="F17" s="40"/>
      <c r="IQ17"/>
    </row>
    <row r="18" spans="1:251" x14ac:dyDescent="0.3">
      <c r="A18" s="1" t="s">
        <v>82</v>
      </c>
      <c r="C18" s="2">
        <v>5800</v>
      </c>
      <c r="D18" s="40">
        <v>6380</v>
      </c>
      <c r="E18" s="2"/>
      <c r="F18" s="40"/>
      <c r="IQ18"/>
    </row>
    <row r="19" spans="1:251" x14ac:dyDescent="0.3">
      <c r="A19" s="1" t="s">
        <v>83</v>
      </c>
      <c r="C19" s="25"/>
      <c r="D19" s="67">
        <v>131749</v>
      </c>
      <c r="E19" s="2"/>
      <c r="F19" s="40"/>
      <c r="IQ19"/>
    </row>
    <row r="20" spans="1:251" s="27" customFormat="1" ht="18" thickBot="1" x14ac:dyDescent="0.35">
      <c r="A20" s="26" t="s">
        <v>79</v>
      </c>
      <c r="C20" s="71">
        <f>SUM(C18:C19)</f>
        <v>5800</v>
      </c>
      <c r="D20" s="28">
        <f>SUM(D18:D19)</f>
        <v>138129</v>
      </c>
      <c r="E20" s="30"/>
      <c r="F20" s="29"/>
    </row>
    <row r="21" spans="1:251" ht="16.2" thickTop="1" x14ac:dyDescent="0.3">
      <c r="D21" s="40"/>
      <c r="E21" s="2"/>
      <c r="F21" s="40"/>
      <c r="IQ21"/>
    </row>
    <row r="22" spans="1:251" x14ac:dyDescent="0.3">
      <c r="D22" s="40"/>
      <c r="E22" s="2"/>
      <c r="F22" s="40"/>
      <c r="IQ22"/>
    </row>
    <row r="23" spans="1:251" s="27" customFormat="1" ht="17.399999999999999" x14ac:dyDescent="0.3">
      <c r="A23" s="31" t="s">
        <v>84</v>
      </c>
      <c r="C23" s="30">
        <f>SUM(C12+C16+C20)</f>
        <v>27063</v>
      </c>
      <c r="D23" s="29">
        <f>SUM(D12+D16+D20)</f>
        <v>157843.21518987342</v>
      </c>
      <c r="E23" s="30"/>
      <c r="F23" s="29"/>
    </row>
    <row r="24" spans="1:251" s="27" customFormat="1" ht="17.399999999999999" x14ac:dyDescent="0.3">
      <c r="A24" s="31" t="s">
        <v>85</v>
      </c>
      <c r="C24" s="72">
        <f>'2025 Budget'!C98</f>
        <v>104599.92771084337</v>
      </c>
      <c r="D24" s="32">
        <f>'2025 Budget'!D98</f>
        <v>108909.5421686747</v>
      </c>
      <c r="E24" s="30"/>
      <c r="F24" s="29"/>
    </row>
    <row r="25" spans="1:251" s="27" customFormat="1" ht="18" thickBot="1" x14ac:dyDescent="0.35">
      <c r="A25" s="31" t="s">
        <v>86</v>
      </c>
      <c r="C25" s="73">
        <f>SUM(C23+C24)</f>
        <v>131662.92771084339</v>
      </c>
      <c r="D25" s="33">
        <f>SUM(D23+D24)</f>
        <v>266752.75735854812</v>
      </c>
      <c r="E25" s="30"/>
      <c r="F25" s="29"/>
    </row>
    <row r="26" spans="1:251" s="27" customFormat="1" ht="18" thickTop="1" x14ac:dyDescent="0.3">
      <c r="A26" s="31"/>
      <c r="C26" s="29"/>
      <c r="D26" s="29"/>
      <c r="E26" s="30"/>
      <c r="F26" s="29"/>
      <c r="G26" s="30"/>
    </row>
    <row r="27" spans="1:251" s="27" customFormat="1" ht="17.399999999999999" x14ac:dyDescent="0.3">
      <c r="A27" s="31" t="s">
        <v>87</v>
      </c>
      <c r="C27" s="29"/>
      <c r="D27" s="29"/>
      <c r="E27" s="30"/>
      <c r="F27" s="29"/>
      <c r="G27" s="30"/>
    </row>
    <row r="28" spans="1:251" x14ac:dyDescent="0.3">
      <c r="C28" s="17"/>
      <c r="D28" s="68"/>
      <c r="E28" s="34"/>
      <c r="F28" s="40"/>
      <c r="G28" s="2"/>
      <c r="H28" s="35"/>
    </row>
    <row r="29" spans="1:251" ht="16.8" x14ac:dyDescent="0.3">
      <c r="A29" s="36" t="s">
        <v>153</v>
      </c>
      <c r="C29" s="17"/>
      <c r="D29" s="68"/>
      <c r="E29" s="34"/>
      <c r="F29" s="40"/>
      <c r="G29" s="2"/>
      <c r="H29" s="35"/>
    </row>
    <row r="30" spans="1:251" x14ac:dyDescent="0.3">
      <c r="C30" s="24"/>
      <c r="D30" s="24" t="s">
        <v>88</v>
      </c>
      <c r="E30" s="37"/>
      <c r="F30" s="40"/>
    </row>
    <row r="31" spans="1:251" x14ac:dyDescent="0.3">
      <c r="E31" s="37"/>
      <c r="F31" s="40"/>
    </row>
    <row r="32" spans="1:251" x14ac:dyDescent="0.3">
      <c r="A32" s="23" t="s">
        <v>148</v>
      </c>
      <c r="C32" s="38"/>
      <c r="D32" s="74">
        <f>D23</f>
        <v>157843.21518987342</v>
      </c>
      <c r="E32" s="2"/>
      <c r="F32" s="40"/>
      <c r="G32" s="2"/>
    </row>
    <row r="33" spans="1:7" x14ac:dyDescent="0.3">
      <c r="A33" s="23" t="s">
        <v>145</v>
      </c>
      <c r="C33" s="38"/>
      <c r="D33" s="74">
        <f>D24</f>
        <v>108909.5421686747</v>
      </c>
      <c r="E33" s="2"/>
      <c r="F33" s="40"/>
      <c r="G33" s="2"/>
    </row>
    <row r="34" spans="1:7" ht="18" thickBot="1" x14ac:dyDescent="0.35">
      <c r="A34" s="23" t="s">
        <v>146</v>
      </c>
      <c r="C34" s="38"/>
      <c r="D34" s="39">
        <f>SUM(D32:D33)</f>
        <v>266752.75735854812</v>
      </c>
      <c r="E34" s="2"/>
      <c r="F34" s="40"/>
    </row>
    <row r="35" spans="1:7" ht="16.2" thickTop="1" x14ac:dyDescent="0.3">
      <c r="A35" s="23"/>
      <c r="C35" s="38"/>
      <c r="D35" s="48"/>
      <c r="E35" s="2"/>
      <c r="F35" s="40"/>
    </row>
    <row r="36" spans="1:7" x14ac:dyDescent="0.3">
      <c r="A36" s="23" t="s">
        <v>147</v>
      </c>
      <c r="C36" s="38"/>
      <c r="D36" s="48"/>
      <c r="E36" s="2"/>
      <c r="F36" s="40"/>
    </row>
    <row r="37" spans="1:7" x14ac:dyDescent="0.3">
      <c r="A37" s="23" t="s">
        <v>154</v>
      </c>
      <c r="C37" s="38"/>
      <c r="D37" s="74">
        <v>37400</v>
      </c>
      <c r="E37" s="2"/>
      <c r="F37" s="40"/>
    </row>
    <row r="38" spans="1:7" ht="16.2" thickBot="1" x14ac:dyDescent="0.35">
      <c r="A38" s="23" t="s">
        <v>155</v>
      </c>
      <c r="C38" s="38"/>
      <c r="D38" s="92">
        <f>D34+D37</f>
        <v>304152.75735854812</v>
      </c>
      <c r="E38" s="2"/>
      <c r="F38" s="40"/>
    </row>
    <row r="39" spans="1:7" ht="16.8" thickTop="1" thickBot="1" x14ac:dyDescent="0.35">
      <c r="A39" s="49"/>
      <c r="B39" s="50"/>
      <c r="C39" s="51"/>
      <c r="D39" s="52"/>
      <c r="E39" s="2"/>
      <c r="F39" s="40"/>
    </row>
    <row r="40" spans="1:7" ht="16.2" thickTop="1" x14ac:dyDescent="0.3">
      <c r="A40" s="23" t="s">
        <v>156</v>
      </c>
      <c r="D40" s="48"/>
      <c r="E40" s="2"/>
      <c r="F40" s="40"/>
    </row>
    <row r="41" spans="1:7" x14ac:dyDescent="0.3">
      <c r="A41" s="23"/>
      <c r="D41" s="48"/>
      <c r="E41" s="42"/>
      <c r="F41" s="40"/>
    </row>
    <row r="42" spans="1:7" x14ac:dyDescent="0.3">
      <c r="A42" s="23" t="s">
        <v>157</v>
      </c>
      <c r="B42" s="23"/>
      <c r="D42" s="53">
        <f>5152-425</f>
        <v>4727</v>
      </c>
      <c r="F42" s="40"/>
    </row>
    <row r="43" spans="1:7" ht="17.399999999999999" x14ac:dyDescent="0.3">
      <c r="A43" s="21" t="s">
        <v>106</v>
      </c>
      <c r="D43" s="95">
        <v>425</v>
      </c>
      <c r="F43" s="40"/>
    </row>
    <row r="44" spans="1:7" ht="16.2" thickBot="1" x14ac:dyDescent="0.35">
      <c r="A44" s="23" t="s">
        <v>116</v>
      </c>
      <c r="D44" s="96">
        <f>D42+D43</f>
        <v>5152</v>
      </c>
      <c r="F44" s="40"/>
    </row>
    <row r="45" spans="1:7" ht="16.2" thickTop="1" x14ac:dyDescent="0.3">
      <c r="A45" s="23"/>
      <c r="D45" s="53"/>
      <c r="F45" s="40"/>
    </row>
    <row r="46" spans="1:7" x14ac:dyDescent="0.3">
      <c r="A46" s="23" t="s">
        <v>120</v>
      </c>
      <c r="B46" s="23"/>
      <c r="D46" s="53">
        <v>1335</v>
      </c>
      <c r="F46" s="40"/>
    </row>
    <row r="47" spans="1:7" x14ac:dyDescent="0.3">
      <c r="A47" s="23" t="s">
        <v>106</v>
      </c>
      <c r="B47" s="23"/>
      <c r="D47" s="95">
        <v>425</v>
      </c>
      <c r="F47" s="40"/>
    </row>
    <row r="48" spans="1:7" ht="15.75" customHeight="1" thickBot="1" x14ac:dyDescent="0.35">
      <c r="A48" s="23" t="s">
        <v>116</v>
      </c>
      <c r="B48" s="23"/>
      <c r="D48" s="96">
        <f>D46+D47</f>
        <v>1760</v>
      </c>
      <c r="F48" s="40"/>
    </row>
    <row r="49" spans="1:6" ht="16.2" thickTop="1" x14ac:dyDescent="0.3">
      <c r="A49" s="44"/>
      <c r="B49" s="23"/>
      <c r="D49" s="53"/>
      <c r="F49" s="40"/>
    </row>
    <row r="50" spans="1:6" x14ac:dyDescent="0.3">
      <c r="A50" s="23" t="s">
        <v>158</v>
      </c>
      <c r="B50" s="23" t="s">
        <v>176</v>
      </c>
      <c r="D50" s="53"/>
      <c r="F50" s="40"/>
    </row>
    <row r="51" spans="1:6" x14ac:dyDescent="0.3">
      <c r="C51" s="2"/>
      <c r="D51" s="53"/>
    </row>
    <row r="52" spans="1:6" x14ac:dyDescent="0.3">
      <c r="A52" s="23"/>
      <c r="D52" s="53"/>
    </row>
    <row r="53" spans="1:6" x14ac:dyDescent="0.3">
      <c r="A53" s="23" t="s">
        <v>169</v>
      </c>
      <c r="C53" s="84">
        <v>12376</v>
      </c>
      <c r="D53" s="53"/>
      <c r="F53" s="40"/>
    </row>
    <row r="54" spans="1:6" x14ac:dyDescent="0.3">
      <c r="A54" s="23" t="s">
        <v>172</v>
      </c>
      <c r="C54" s="84">
        <v>1250</v>
      </c>
      <c r="D54" s="53"/>
      <c r="F54" s="40"/>
    </row>
    <row r="55" spans="1:6" x14ac:dyDescent="0.3">
      <c r="A55" s="23" t="s">
        <v>173</v>
      </c>
      <c r="D55" s="53">
        <f>12376+1250</f>
        <v>13626</v>
      </c>
      <c r="F55" s="40"/>
    </row>
    <row r="56" spans="1:6" x14ac:dyDescent="0.3">
      <c r="A56" s="23" t="s">
        <v>170</v>
      </c>
      <c r="D56" s="53">
        <f>13825-13626</f>
        <v>199</v>
      </c>
    </row>
    <row r="57" spans="1:6" x14ac:dyDescent="0.3">
      <c r="D57" s="53"/>
    </row>
    <row r="59" spans="1:6" x14ac:dyDescent="0.3">
      <c r="A59" s="23" t="s">
        <v>181</v>
      </c>
    </row>
  </sheetData>
  <pageMargins left="0.7" right="0.7" top="0.75" bottom="0.75" header="0.3" footer="0.3"/>
  <pageSetup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267B-DA4A-4055-882A-A8974AF18E8B}">
  <sheetPr>
    <pageSetUpPr fitToPage="1"/>
  </sheetPr>
  <dimension ref="A1:IQ60"/>
  <sheetViews>
    <sheetView topLeftCell="A17" workbookViewId="0">
      <selection activeCell="B30" sqref="B30"/>
    </sheetView>
  </sheetViews>
  <sheetFormatPr defaultColWidth="9.6328125" defaultRowHeight="15.6" x14ac:dyDescent="0.3"/>
  <cols>
    <col min="1" max="1" width="13.6328125" style="1" customWidth="1"/>
    <col min="2" max="2" width="18.90625" style="1" customWidth="1"/>
    <col min="3" max="3" width="14.7265625" style="1" customWidth="1"/>
    <col min="4" max="4" width="16.26953125" style="23" customWidth="1"/>
    <col min="5" max="5" width="10.81640625" style="1" customWidth="1"/>
    <col min="6" max="6" width="11.36328125" style="76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102</v>
      </c>
      <c r="B2" s="19" t="s">
        <v>189</v>
      </c>
    </row>
    <row r="4" spans="1:6" ht="17.399999999999999" x14ac:dyDescent="0.3">
      <c r="A4" s="21" t="s">
        <v>89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8"/>
    </row>
    <row r="9" spans="1:6" x14ac:dyDescent="0.3">
      <c r="A9" s="1" t="s">
        <v>76</v>
      </c>
      <c r="C9" s="2">
        <f>27650/158*22</f>
        <v>3850</v>
      </c>
      <c r="D9" s="40">
        <f>30000/158*22-8</f>
        <v>4169.2151898734173</v>
      </c>
      <c r="E9" s="2"/>
      <c r="F9" s="48"/>
    </row>
    <row r="10" spans="1:6" x14ac:dyDescent="0.3">
      <c r="A10" s="1" t="s">
        <v>77</v>
      </c>
      <c r="C10" s="2">
        <v>2760</v>
      </c>
      <c r="D10" s="40">
        <v>2150</v>
      </c>
      <c r="E10" s="2"/>
      <c r="F10" s="48"/>
    </row>
    <row r="11" spans="1:6" x14ac:dyDescent="0.3">
      <c r="A11" s="1" t="s">
        <v>78</v>
      </c>
      <c r="C11" s="25">
        <v>2000</v>
      </c>
      <c r="D11" s="67">
        <v>4000</v>
      </c>
      <c r="E11" s="2"/>
      <c r="F11" s="48"/>
    </row>
    <row r="12" spans="1:6" s="27" customFormat="1" ht="18" thickBot="1" x14ac:dyDescent="0.35">
      <c r="A12" s="26" t="s">
        <v>79</v>
      </c>
      <c r="C12" s="71">
        <f>SUM(C9:C11)</f>
        <v>8610</v>
      </c>
      <c r="D12" s="33">
        <f>SUM(D9:D11)</f>
        <v>10319.215189873417</v>
      </c>
      <c r="E12" s="30"/>
      <c r="F12" s="47"/>
    </row>
    <row r="13" spans="1:6" ht="16.2" thickTop="1" x14ac:dyDescent="0.3">
      <c r="C13" s="2"/>
      <c r="D13" s="40"/>
      <c r="E13" s="2"/>
      <c r="F13" s="48"/>
    </row>
    <row r="14" spans="1:6" x14ac:dyDescent="0.3">
      <c r="A14" s="1" t="s">
        <v>80</v>
      </c>
      <c r="C14" s="2">
        <v>1000</v>
      </c>
      <c r="D14" s="40">
        <v>0</v>
      </c>
      <c r="E14" s="2"/>
      <c r="F14" s="48"/>
    </row>
    <row r="15" spans="1:6" x14ac:dyDescent="0.3">
      <c r="A15" s="1" t="s">
        <v>81</v>
      </c>
      <c r="C15" s="25">
        <v>11653</v>
      </c>
      <c r="D15" s="67">
        <v>9395</v>
      </c>
      <c r="E15" s="2"/>
      <c r="F15" s="48"/>
    </row>
    <row r="16" spans="1:6" s="27" customFormat="1" ht="18" thickBot="1" x14ac:dyDescent="0.35">
      <c r="A16" s="26" t="s">
        <v>79</v>
      </c>
      <c r="C16" s="71">
        <f>SUM(C14:C15)</f>
        <v>12653</v>
      </c>
      <c r="D16" s="33">
        <f>SUM(D14:D15)</f>
        <v>9395</v>
      </c>
      <c r="E16" s="30"/>
      <c r="F16" s="47"/>
    </row>
    <row r="17" spans="1:8" ht="16.2" thickTop="1" x14ac:dyDescent="0.3">
      <c r="C17" s="2"/>
      <c r="D17" s="40"/>
      <c r="E17" s="2"/>
      <c r="F17" s="48"/>
    </row>
    <row r="18" spans="1:8" x14ac:dyDescent="0.3">
      <c r="A18" s="1" t="s">
        <v>82</v>
      </c>
      <c r="C18" s="2">
        <v>5800</v>
      </c>
      <c r="D18" s="40">
        <v>6380</v>
      </c>
      <c r="E18" s="2"/>
      <c r="F18" s="48"/>
    </row>
    <row r="19" spans="1:8" x14ac:dyDescent="0.3">
      <c r="A19" s="1" t="s">
        <v>83</v>
      </c>
      <c r="C19" s="25"/>
      <c r="D19" s="67">
        <v>131749</v>
      </c>
      <c r="E19" s="2"/>
      <c r="F19" s="48"/>
    </row>
    <row r="20" spans="1:8" s="27" customFormat="1" ht="18" thickBot="1" x14ac:dyDescent="0.35">
      <c r="A20" s="26" t="s">
        <v>79</v>
      </c>
      <c r="C20" s="71">
        <f>SUM(C18:C19)</f>
        <v>5800</v>
      </c>
      <c r="D20" s="33">
        <f>SUM(D18:D19)</f>
        <v>138129</v>
      </c>
      <c r="E20" s="30"/>
      <c r="F20" s="47"/>
    </row>
    <row r="21" spans="1:8" ht="16.2" thickTop="1" x14ac:dyDescent="0.3">
      <c r="E21" s="2"/>
    </row>
    <row r="22" spans="1:8" x14ac:dyDescent="0.3">
      <c r="E22" s="2"/>
    </row>
    <row r="23" spans="1:8" s="27" customFormat="1" ht="17.399999999999999" x14ac:dyDescent="0.3">
      <c r="A23" s="31" t="s">
        <v>84</v>
      </c>
      <c r="C23" s="30">
        <f>SUM(C12+C16+C20)</f>
        <v>27063</v>
      </c>
      <c r="D23" s="29">
        <f>SUM(D12+D16+D20)</f>
        <v>157843.21518987342</v>
      </c>
      <c r="E23" s="30"/>
      <c r="F23" s="47"/>
    </row>
    <row r="24" spans="1:8" s="27" customFormat="1" ht="17.399999999999999" x14ac:dyDescent="0.3">
      <c r="A24" s="31" t="s">
        <v>85</v>
      </c>
      <c r="C24" s="72">
        <f>'2025 Budget'!C99</f>
        <v>104599.92771084337</v>
      </c>
      <c r="D24" s="32">
        <f>'2025 Budget'!D99</f>
        <v>108909.5421686747</v>
      </c>
      <c r="E24" s="30"/>
      <c r="F24" s="47"/>
    </row>
    <row r="25" spans="1:8" s="27" customFormat="1" ht="18" thickBot="1" x14ac:dyDescent="0.35">
      <c r="A25" s="31" t="s">
        <v>86</v>
      </c>
      <c r="C25" s="73">
        <f>SUM(C23+C24)</f>
        <v>131662.92771084339</v>
      </c>
      <c r="D25" s="33">
        <f>SUM(D23+D24)</f>
        <v>266752.75735854812</v>
      </c>
      <c r="E25" s="30"/>
      <c r="F25" s="47"/>
      <c r="G25" s="30"/>
    </row>
    <row r="26" spans="1:8" s="27" customFormat="1" ht="18" thickTop="1" x14ac:dyDescent="0.3">
      <c r="A26" s="31"/>
      <c r="C26" s="30"/>
      <c r="D26" s="29"/>
      <c r="E26" s="30"/>
      <c r="F26" s="47"/>
      <c r="G26" s="30"/>
    </row>
    <row r="27" spans="1:8" s="27" customFormat="1" ht="17.399999999999999" x14ac:dyDescent="0.3">
      <c r="A27" s="31" t="s">
        <v>87</v>
      </c>
      <c r="C27" s="30"/>
      <c r="D27" s="29"/>
      <c r="E27" s="30"/>
      <c r="F27" s="47"/>
      <c r="G27" s="30"/>
    </row>
    <row r="28" spans="1:8" s="27" customFormat="1" ht="17.399999999999999" x14ac:dyDescent="0.3">
      <c r="A28" s="31"/>
      <c r="C28" s="30"/>
      <c r="D28" s="29"/>
      <c r="E28" s="30"/>
      <c r="F28" s="47"/>
      <c r="G28" s="30"/>
    </row>
    <row r="29" spans="1:8" x14ac:dyDescent="0.3">
      <c r="C29" s="17"/>
      <c r="D29" s="68"/>
      <c r="E29" s="34"/>
      <c r="F29" s="48"/>
      <c r="G29" s="2"/>
      <c r="H29" s="35"/>
    </row>
    <row r="30" spans="1:8" ht="16.8" x14ac:dyDescent="0.3">
      <c r="A30" s="36" t="s">
        <v>153</v>
      </c>
      <c r="C30" s="17"/>
      <c r="D30" s="68"/>
      <c r="E30" s="34"/>
      <c r="F30" s="48"/>
      <c r="G30" s="2"/>
      <c r="H30" s="35"/>
    </row>
    <row r="31" spans="1:8" x14ac:dyDescent="0.3">
      <c r="C31" s="24"/>
      <c r="D31" s="24" t="s">
        <v>88</v>
      </c>
      <c r="E31" s="37"/>
    </row>
    <row r="32" spans="1:8" x14ac:dyDescent="0.3">
      <c r="E32" s="37"/>
    </row>
    <row r="33" spans="1:7" x14ac:dyDescent="0.3">
      <c r="A33" s="23" t="s">
        <v>148</v>
      </c>
      <c r="C33" s="48"/>
      <c r="D33" s="48">
        <f>D23</f>
        <v>157843.21518987342</v>
      </c>
      <c r="E33" s="2"/>
      <c r="F33" s="48"/>
      <c r="G33" s="2"/>
    </row>
    <row r="34" spans="1:7" x14ac:dyDescent="0.3">
      <c r="A34" s="23" t="s">
        <v>145</v>
      </c>
      <c r="C34" s="48"/>
      <c r="D34" s="67">
        <f>'2025 Budget'!D99</f>
        <v>108909.5421686747</v>
      </c>
      <c r="E34" s="2"/>
      <c r="F34" s="48"/>
      <c r="G34" s="2"/>
    </row>
    <row r="35" spans="1:7" ht="17.399999999999999" x14ac:dyDescent="0.3">
      <c r="A35" s="23" t="s">
        <v>146</v>
      </c>
      <c r="C35" s="47"/>
      <c r="D35" s="40">
        <f>SUM(D33:D34)</f>
        <v>266752.75735854812</v>
      </c>
      <c r="E35" s="2"/>
      <c r="F35" s="48"/>
    </row>
    <row r="36" spans="1:7" x14ac:dyDescent="0.3">
      <c r="A36" s="23"/>
      <c r="C36" s="38"/>
      <c r="D36" s="40"/>
      <c r="E36" s="2"/>
      <c r="F36" s="48"/>
    </row>
    <row r="37" spans="1:7" x14ac:dyDescent="0.3">
      <c r="A37" s="23" t="s">
        <v>147</v>
      </c>
      <c r="C37" s="48"/>
      <c r="D37" s="40"/>
      <c r="E37" s="2"/>
      <c r="F37" s="48"/>
    </row>
    <row r="38" spans="1:7" x14ac:dyDescent="0.3">
      <c r="A38" s="23" t="s">
        <v>154</v>
      </c>
      <c r="C38" s="48"/>
      <c r="D38" s="67">
        <v>37400</v>
      </c>
      <c r="E38" s="2"/>
      <c r="F38" s="48"/>
    </row>
    <row r="39" spans="1:7" ht="16.2" thickBot="1" x14ac:dyDescent="0.35">
      <c r="A39" s="23" t="s">
        <v>155</v>
      </c>
      <c r="C39" s="48"/>
      <c r="D39" s="101">
        <f>SUM(D35+D38)</f>
        <v>304152.75735854812</v>
      </c>
      <c r="E39" s="2"/>
      <c r="F39" s="48"/>
    </row>
    <row r="40" spans="1:7" ht="16.2" thickTop="1" x14ac:dyDescent="0.3">
      <c r="A40" s="23"/>
      <c r="C40" s="48"/>
      <c r="D40" s="40"/>
      <c r="E40" s="2"/>
      <c r="F40" s="48"/>
    </row>
    <row r="41" spans="1:7" x14ac:dyDescent="0.3">
      <c r="A41" s="45" t="s">
        <v>156</v>
      </c>
      <c r="B41" s="46"/>
      <c r="C41" s="48"/>
      <c r="D41" s="40"/>
      <c r="E41" s="2"/>
      <c r="F41" s="48"/>
    </row>
    <row r="42" spans="1:7" ht="17.399999999999999" x14ac:dyDescent="0.3">
      <c r="A42" s="23"/>
      <c r="C42" s="47"/>
      <c r="D42" s="40"/>
      <c r="E42" s="2"/>
      <c r="F42" s="48"/>
    </row>
    <row r="43" spans="1:7" ht="17.399999999999999" x14ac:dyDescent="0.3">
      <c r="A43" s="21" t="s">
        <v>157</v>
      </c>
      <c r="C43" s="53"/>
      <c r="D43" s="53">
        <v>4727</v>
      </c>
      <c r="E43" s="42"/>
      <c r="F43" s="48"/>
    </row>
    <row r="44" spans="1:7" x14ac:dyDescent="0.3">
      <c r="A44" s="23" t="s">
        <v>106</v>
      </c>
      <c r="C44" s="53"/>
      <c r="D44" s="95">
        <v>425</v>
      </c>
      <c r="E44" s="75"/>
      <c r="F44" s="48"/>
    </row>
    <row r="45" spans="1:7" ht="16.2" thickBot="1" x14ac:dyDescent="0.35">
      <c r="A45" s="23" t="s">
        <v>116</v>
      </c>
      <c r="C45" s="53"/>
      <c r="D45" s="96">
        <f>4727+425</f>
        <v>5152</v>
      </c>
      <c r="E45" s="54"/>
    </row>
    <row r="46" spans="1:7" ht="16.2" thickTop="1" x14ac:dyDescent="0.3">
      <c r="A46" s="23"/>
      <c r="B46" s="23"/>
      <c r="C46" s="53"/>
      <c r="D46" s="53"/>
    </row>
    <row r="47" spans="1:7" ht="17.399999999999999" x14ac:dyDescent="0.3">
      <c r="A47" s="21" t="s">
        <v>120</v>
      </c>
      <c r="C47" s="53"/>
      <c r="D47" s="53">
        <f>1760-425</f>
        <v>1335</v>
      </c>
    </row>
    <row r="48" spans="1:7" x14ac:dyDescent="0.3">
      <c r="A48" s="23" t="s">
        <v>106</v>
      </c>
      <c r="C48" s="53"/>
      <c r="D48" s="95">
        <v>425</v>
      </c>
    </row>
    <row r="49" spans="1:6" ht="16.2" thickBot="1" x14ac:dyDescent="0.35">
      <c r="A49" s="23" t="s">
        <v>116</v>
      </c>
      <c r="C49" s="53"/>
      <c r="D49" s="96">
        <f>SUM(D47+D48)</f>
        <v>1760</v>
      </c>
    </row>
    <row r="50" spans="1:6" ht="15.75" customHeight="1" thickTop="1" x14ac:dyDescent="0.3">
      <c r="A50" s="23"/>
      <c r="B50" s="23"/>
      <c r="C50" s="53"/>
      <c r="D50" s="53"/>
    </row>
    <row r="51" spans="1:6" x14ac:dyDescent="0.3">
      <c r="A51" s="23" t="s">
        <v>158</v>
      </c>
      <c r="B51" s="23" t="s">
        <v>177</v>
      </c>
      <c r="C51" s="53"/>
      <c r="D51" s="53">
        <v>304150</v>
      </c>
    </row>
    <row r="52" spans="1:6" x14ac:dyDescent="0.3">
      <c r="A52" s="23"/>
      <c r="B52" s="23"/>
      <c r="C52" s="53"/>
    </row>
    <row r="53" spans="1:6" x14ac:dyDescent="0.3">
      <c r="A53" s="23"/>
      <c r="B53" s="23"/>
      <c r="C53" s="53"/>
    </row>
    <row r="54" spans="1:6" x14ac:dyDescent="0.3">
      <c r="A54" s="23"/>
      <c r="B54" s="23"/>
      <c r="C54" s="53"/>
    </row>
    <row r="55" spans="1:6" x14ac:dyDescent="0.3">
      <c r="A55" s="23" t="s">
        <v>169</v>
      </c>
      <c r="C55" s="53">
        <v>12376</v>
      </c>
      <c r="D55" s="53"/>
    </row>
    <row r="56" spans="1:6" x14ac:dyDescent="0.3">
      <c r="A56" s="23" t="s">
        <v>172</v>
      </c>
      <c r="C56" s="53">
        <v>1250</v>
      </c>
      <c r="D56" s="53"/>
      <c r="F56" s="48"/>
    </row>
    <row r="57" spans="1:6" x14ac:dyDescent="0.3">
      <c r="A57" s="23" t="s">
        <v>173</v>
      </c>
      <c r="C57" s="23"/>
      <c r="D57" s="53">
        <f>C55+C56</f>
        <v>13626</v>
      </c>
    </row>
    <row r="58" spans="1:6" x14ac:dyDescent="0.3">
      <c r="A58" s="23" t="s">
        <v>170</v>
      </c>
      <c r="D58" s="53">
        <f>13825-13626</f>
        <v>199</v>
      </c>
    </row>
    <row r="60" spans="1:6" x14ac:dyDescent="0.3">
      <c r="A60" s="23" t="s">
        <v>182</v>
      </c>
    </row>
  </sheetData>
  <pageMargins left="0.7" right="0.7" top="0.75" bottom="0.75" header="0.3" footer="0.3"/>
  <pageSetup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015A-C3AE-487A-A9A6-8DCB34710ECB}">
  <sheetPr>
    <pageSetUpPr fitToPage="1"/>
  </sheetPr>
  <dimension ref="A1:IQ60"/>
  <sheetViews>
    <sheetView topLeftCell="A15" workbookViewId="0">
      <selection activeCell="A29" sqref="A29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2.6328125" style="1" customWidth="1"/>
    <col min="4" max="4" width="13.36328125" style="23" customWidth="1"/>
    <col min="5" max="5" width="10.81640625" style="1" customWidth="1"/>
    <col min="6" max="6" width="11.54296875" style="76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149</v>
      </c>
      <c r="B2" s="19" t="s">
        <v>189</v>
      </c>
    </row>
    <row r="4" spans="1:6" ht="17.399999999999999" x14ac:dyDescent="0.3">
      <c r="A4" s="21" t="s">
        <v>90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8"/>
    </row>
    <row r="9" spans="1:6" x14ac:dyDescent="0.3">
      <c r="A9" s="1" t="s">
        <v>76</v>
      </c>
      <c r="C9" s="2">
        <f>27650/158*32</f>
        <v>5600</v>
      </c>
      <c r="D9" s="40">
        <f>30000/158*32-8</f>
        <v>6067.9493670886077</v>
      </c>
      <c r="E9" s="2"/>
      <c r="F9" s="48"/>
    </row>
    <row r="10" spans="1:6" x14ac:dyDescent="0.3">
      <c r="A10" s="1" t="s">
        <v>77</v>
      </c>
      <c r="C10" s="2">
        <v>2760</v>
      </c>
      <c r="D10" s="40">
        <v>2150</v>
      </c>
      <c r="E10" s="2"/>
      <c r="F10" s="48"/>
    </row>
    <row r="11" spans="1:6" x14ac:dyDescent="0.3">
      <c r="A11" s="1" t="s">
        <v>78</v>
      </c>
      <c r="C11" s="25">
        <v>2000</v>
      </c>
      <c r="D11" s="67">
        <v>5000</v>
      </c>
      <c r="E11" s="2"/>
      <c r="F11" s="48"/>
    </row>
    <row r="12" spans="1:6" s="27" customFormat="1" ht="18" thickBot="1" x14ac:dyDescent="0.35">
      <c r="A12" s="26" t="s">
        <v>79</v>
      </c>
      <c r="C12" s="71">
        <f>SUM(C9:C11)</f>
        <v>10360</v>
      </c>
      <c r="D12" s="33">
        <f>SUM(D9:D11)</f>
        <v>13217.949367088608</v>
      </c>
      <c r="E12" s="30"/>
      <c r="F12" s="47"/>
    </row>
    <row r="13" spans="1:6" ht="16.2" thickTop="1" x14ac:dyDescent="0.3">
      <c r="C13" s="2"/>
      <c r="D13" s="40"/>
      <c r="E13" s="2"/>
      <c r="F13" s="48"/>
    </row>
    <row r="14" spans="1:6" x14ac:dyDescent="0.3">
      <c r="A14" s="1" t="s">
        <v>80</v>
      </c>
      <c r="C14" s="2">
        <v>1500</v>
      </c>
      <c r="D14" s="40">
        <v>0</v>
      </c>
      <c r="E14" s="2"/>
      <c r="F14" s="48"/>
    </row>
    <row r="15" spans="1:6" x14ac:dyDescent="0.3">
      <c r="A15" s="1" t="s">
        <v>81</v>
      </c>
      <c r="C15" s="25">
        <v>16753</v>
      </c>
      <c r="D15" s="67">
        <v>13665</v>
      </c>
      <c r="E15" s="2"/>
      <c r="F15" s="48"/>
    </row>
    <row r="16" spans="1:6" s="27" customFormat="1" ht="18" thickBot="1" x14ac:dyDescent="0.35">
      <c r="A16" s="26" t="s">
        <v>79</v>
      </c>
      <c r="C16" s="71">
        <f>SUM(C14:C15)</f>
        <v>18253</v>
      </c>
      <c r="D16" s="33">
        <f>SUM(D14:D15)</f>
        <v>13665</v>
      </c>
      <c r="E16" s="30"/>
      <c r="F16" s="47"/>
    </row>
    <row r="17" spans="1:8" ht="16.2" thickTop="1" x14ac:dyDescent="0.3">
      <c r="C17" s="2"/>
      <c r="D17" s="40"/>
      <c r="E17" s="2"/>
      <c r="F17" s="48"/>
    </row>
    <row r="18" spans="1:8" x14ac:dyDescent="0.3">
      <c r="A18" s="1" t="s">
        <v>82</v>
      </c>
      <c r="C18" s="2">
        <v>7000</v>
      </c>
      <c r="D18" s="40">
        <v>7700</v>
      </c>
      <c r="E18" s="2"/>
      <c r="F18" s="48"/>
    </row>
    <row r="19" spans="1:8" x14ac:dyDescent="0.3">
      <c r="A19" s="1" t="s">
        <v>83</v>
      </c>
      <c r="C19" s="25"/>
      <c r="D19" s="67">
        <v>185968</v>
      </c>
      <c r="E19" s="2"/>
      <c r="F19" s="48"/>
    </row>
    <row r="20" spans="1:8" s="27" customFormat="1" ht="18" thickBot="1" x14ac:dyDescent="0.35">
      <c r="A20" s="26" t="s">
        <v>79</v>
      </c>
      <c r="C20" s="71">
        <f>SUM(C18:C19)</f>
        <v>7000</v>
      </c>
      <c r="D20" s="33">
        <f>SUM(D18:D19)</f>
        <v>193668</v>
      </c>
      <c r="E20" s="30"/>
      <c r="F20" s="47"/>
    </row>
    <row r="21" spans="1:8" ht="16.2" thickTop="1" x14ac:dyDescent="0.3">
      <c r="E21" s="2"/>
    </row>
    <row r="22" spans="1:8" x14ac:dyDescent="0.3">
      <c r="E22" s="2"/>
    </row>
    <row r="23" spans="1:8" s="27" customFormat="1" ht="17.399999999999999" x14ac:dyDescent="0.3">
      <c r="A23" s="31" t="s">
        <v>84</v>
      </c>
      <c r="C23" s="30">
        <f>SUM(C12+C16+C20)</f>
        <v>35613</v>
      </c>
      <c r="D23" s="29">
        <f>SUM(D12+D16+D20)</f>
        <v>220550.94936708861</v>
      </c>
      <c r="E23" s="30"/>
      <c r="F23" s="47"/>
    </row>
    <row r="24" spans="1:8" s="27" customFormat="1" ht="17.399999999999999" x14ac:dyDescent="0.3">
      <c r="A24" s="31" t="s">
        <v>85</v>
      </c>
      <c r="C24" s="72">
        <v>152145</v>
      </c>
      <c r="D24" s="32">
        <f>'2025 Budget'!D100</f>
        <v>158413.8795180723</v>
      </c>
      <c r="E24" s="30"/>
      <c r="F24" s="47"/>
    </row>
    <row r="25" spans="1:8" s="27" customFormat="1" ht="18" thickBot="1" x14ac:dyDescent="0.35">
      <c r="A25" s="31" t="s">
        <v>86</v>
      </c>
      <c r="C25" s="73">
        <f>SUM(C23+C24)</f>
        <v>187758</v>
      </c>
      <c r="D25" s="33">
        <f>SUM(D23+D24)</f>
        <v>378964.82888516091</v>
      </c>
      <c r="E25" s="30"/>
      <c r="F25" s="47"/>
      <c r="G25" s="30"/>
    </row>
    <row r="26" spans="1:8" s="27" customFormat="1" ht="18" thickTop="1" x14ac:dyDescent="0.3">
      <c r="A26" s="31"/>
      <c r="C26" s="30"/>
      <c r="D26" s="29"/>
      <c r="E26" s="30"/>
      <c r="F26" s="47"/>
      <c r="G26" s="30"/>
    </row>
    <row r="27" spans="1:8" s="27" customFormat="1" ht="17.399999999999999" x14ac:dyDescent="0.3">
      <c r="A27" s="31" t="s">
        <v>87</v>
      </c>
      <c r="C27" s="30"/>
      <c r="D27" s="29"/>
      <c r="E27" s="30"/>
      <c r="F27" s="47"/>
      <c r="G27" s="30"/>
    </row>
    <row r="28" spans="1:8" x14ac:dyDescent="0.3">
      <c r="C28" s="17"/>
      <c r="D28" s="68"/>
      <c r="E28" s="34"/>
      <c r="F28" s="48"/>
      <c r="G28" s="2"/>
      <c r="H28" s="35"/>
    </row>
    <row r="29" spans="1:8" ht="16.8" x14ac:dyDescent="0.3">
      <c r="A29" s="36" t="s">
        <v>153</v>
      </c>
      <c r="C29" s="17"/>
      <c r="D29" s="68"/>
      <c r="E29" s="34"/>
      <c r="F29" s="48"/>
      <c r="G29" s="2"/>
      <c r="H29" s="35"/>
    </row>
    <row r="30" spans="1:8" x14ac:dyDescent="0.3">
      <c r="C30" s="24"/>
      <c r="D30" s="23" t="s">
        <v>88</v>
      </c>
      <c r="E30" s="37"/>
    </row>
    <row r="31" spans="1:8" x14ac:dyDescent="0.3">
      <c r="C31" s="23"/>
      <c r="E31" s="37"/>
    </row>
    <row r="32" spans="1:8" x14ac:dyDescent="0.3">
      <c r="A32" s="23" t="s">
        <v>148</v>
      </c>
      <c r="C32" s="48"/>
      <c r="D32" s="40">
        <f>D23</f>
        <v>220550.94936708861</v>
      </c>
      <c r="E32" s="2"/>
      <c r="F32" s="48"/>
      <c r="G32" s="2"/>
    </row>
    <row r="33" spans="1:7" x14ac:dyDescent="0.3">
      <c r="A33" s="23" t="s">
        <v>145</v>
      </c>
      <c r="C33" s="48"/>
      <c r="D33" s="67">
        <f>D24</f>
        <v>158413.8795180723</v>
      </c>
      <c r="E33" s="2"/>
      <c r="F33" s="48"/>
      <c r="G33" s="2"/>
    </row>
    <row r="34" spans="1:7" ht="18" thickBot="1" x14ac:dyDescent="0.35">
      <c r="A34" s="23" t="s">
        <v>146</v>
      </c>
      <c r="C34" s="47"/>
      <c r="D34" s="101">
        <f>SUM(D32:D33)</f>
        <v>378964.82888516091</v>
      </c>
      <c r="E34" s="2"/>
      <c r="F34" s="48"/>
    </row>
    <row r="35" spans="1:7" ht="16.2" thickTop="1" x14ac:dyDescent="0.3">
      <c r="B35" s="23"/>
      <c r="C35" s="48"/>
      <c r="D35" s="40"/>
      <c r="E35" s="2"/>
      <c r="F35" s="48"/>
    </row>
    <row r="36" spans="1:7" x14ac:dyDescent="0.3">
      <c r="A36" s="23" t="s">
        <v>147</v>
      </c>
      <c r="C36" s="48"/>
      <c r="D36" s="40"/>
      <c r="E36" s="2"/>
      <c r="F36" s="48"/>
    </row>
    <row r="37" spans="1:7" x14ac:dyDescent="0.3">
      <c r="A37" s="23" t="s">
        <v>154</v>
      </c>
      <c r="C37" s="48"/>
      <c r="D37" s="74">
        <v>54400</v>
      </c>
      <c r="E37" s="2"/>
      <c r="F37" s="48"/>
    </row>
    <row r="38" spans="1:7" ht="16.2" thickBot="1" x14ac:dyDescent="0.35">
      <c r="A38" s="23" t="s">
        <v>155</v>
      </c>
      <c r="C38" s="48"/>
      <c r="D38" s="92">
        <f>SUM(D34+D37)</f>
        <v>433364.82888516091</v>
      </c>
      <c r="E38" s="2"/>
      <c r="F38" s="48"/>
    </row>
    <row r="39" spans="1:7" ht="16.2" thickTop="1" x14ac:dyDescent="0.3">
      <c r="A39" s="23"/>
      <c r="C39" s="48"/>
      <c r="D39" s="40"/>
      <c r="E39" s="2"/>
      <c r="F39" s="48"/>
    </row>
    <row r="40" spans="1:7" ht="16.2" thickBot="1" x14ac:dyDescent="0.35">
      <c r="A40" s="49" t="s">
        <v>156</v>
      </c>
      <c r="B40" s="50"/>
      <c r="C40" s="48"/>
      <c r="D40" s="40"/>
      <c r="E40" s="2"/>
      <c r="F40" s="48"/>
    </row>
    <row r="41" spans="1:7" ht="18" thickTop="1" x14ac:dyDescent="0.3">
      <c r="A41" s="21"/>
      <c r="C41" s="47"/>
      <c r="D41" s="40"/>
      <c r="E41" s="2"/>
      <c r="F41" s="48"/>
    </row>
    <row r="42" spans="1:7" ht="17.399999999999999" x14ac:dyDescent="0.3">
      <c r="A42" s="21" t="s">
        <v>157</v>
      </c>
      <c r="C42" s="69"/>
      <c r="D42" s="69">
        <f>5025-425</f>
        <v>4600</v>
      </c>
      <c r="E42" s="42"/>
      <c r="F42" s="48"/>
    </row>
    <row r="43" spans="1:7" ht="17.399999999999999" x14ac:dyDescent="0.3">
      <c r="A43" s="21" t="s">
        <v>106</v>
      </c>
      <c r="B43" s="23"/>
      <c r="C43" s="69"/>
      <c r="D43" s="93">
        <v>425</v>
      </c>
      <c r="E43" s="77"/>
      <c r="F43" s="48"/>
    </row>
    <row r="44" spans="1:7" ht="18" thickBot="1" x14ac:dyDescent="0.35">
      <c r="A44" s="21" t="s">
        <v>116</v>
      </c>
      <c r="B44" s="23"/>
      <c r="C44" s="69"/>
      <c r="D44" s="94">
        <f>SUM(D42+D43)</f>
        <v>5025</v>
      </c>
      <c r="E44" s="54"/>
    </row>
    <row r="45" spans="1:7" ht="16.2" thickTop="1" x14ac:dyDescent="0.3">
      <c r="A45" s="23"/>
      <c r="B45" s="23"/>
      <c r="C45" s="53"/>
      <c r="D45" s="53"/>
    </row>
    <row r="46" spans="1:7" x14ac:dyDescent="0.3">
      <c r="A46" s="23" t="s">
        <v>120</v>
      </c>
      <c r="B46" s="23"/>
      <c r="C46" s="53"/>
      <c r="D46" s="53">
        <v>1321</v>
      </c>
    </row>
    <row r="47" spans="1:7" x14ac:dyDescent="0.3">
      <c r="A47" s="23" t="s">
        <v>106</v>
      </c>
      <c r="B47" s="23"/>
      <c r="C47" s="53"/>
      <c r="D47" s="95">
        <v>425</v>
      </c>
    </row>
    <row r="48" spans="1:7" ht="16.2" thickBot="1" x14ac:dyDescent="0.35">
      <c r="A48" s="23" t="s">
        <v>116</v>
      </c>
      <c r="B48" s="23"/>
      <c r="C48" s="53"/>
      <c r="D48" s="96">
        <f>SUM(D46+D47)</f>
        <v>1746</v>
      </c>
    </row>
    <row r="49" spans="1:6" ht="15.75" customHeight="1" thickTop="1" x14ac:dyDescent="0.3">
      <c r="A49" s="23"/>
      <c r="B49" s="23"/>
      <c r="C49" s="53"/>
      <c r="D49" s="53"/>
    </row>
    <row r="50" spans="1:6" x14ac:dyDescent="0.3">
      <c r="A50" s="23" t="s">
        <v>158</v>
      </c>
      <c r="B50" s="23" t="s">
        <v>178</v>
      </c>
      <c r="C50" s="53"/>
      <c r="D50" s="53">
        <f>13542*32</f>
        <v>433344</v>
      </c>
    </row>
    <row r="51" spans="1:6" x14ac:dyDescent="0.3">
      <c r="A51" s="23"/>
      <c r="B51" s="23"/>
      <c r="C51" s="53"/>
      <c r="D51" s="53"/>
    </row>
    <row r="52" spans="1:6" x14ac:dyDescent="0.3">
      <c r="A52" s="23"/>
      <c r="B52" s="23"/>
      <c r="C52" s="53"/>
      <c r="D52" s="53"/>
    </row>
    <row r="53" spans="1:6" x14ac:dyDescent="0.3">
      <c r="A53" s="23"/>
      <c r="B53" s="23"/>
      <c r="C53" s="53"/>
      <c r="D53" s="53"/>
    </row>
    <row r="54" spans="1:6" x14ac:dyDescent="0.3">
      <c r="A54" s="23" t="s">
        <v>159</v>
      </c>
      <c r="C54" s="53">
        <v>12143</v>
      </c>
      <c r="D54" s="53"/>
    </row>
    <row r="55" spans="1:6" x14ac:dyDescent="0.3">
      <c r="A55" s="23" t="s">
        <v>172</v>
      </c>
      <c r="C55" s="53">
        <v>1250</v>
      </c>
      <c r="D55" s="53"/>
    </row>
    <row r="56" spans="1:6" x14ac:dyDescent="0.3">
      <c r="A56" s="23" t="s">
        <v>173</v>
      </c>
      <c r="C56" s="53"/>
      <c r="D56" s="53">
        <f>12143+1250</f>
        <v>13393</v>
      </c>
    </row>
    <row r="57" spans="1:6" x14ac:dyDescent="0.3">
      <c r="A57" s="23" t="s">
        <v>170</v>
      </c>
      <c r="C57" s="53"/>
      <c r="D57" s="53">
        <f>13542-13393</f>
        <v>149</v>
      </c>
      <c r="F57" s="48"/>
    </row>
    <row r="58" spans="1:6" x14ac:dyDescent="0.3">
      <c r="A58" s="23"/>
    </row>
    <row r="60" spans="1:6" x14ac:dyDescent="0.3">
      <c r="A60" s="23" t="s">
        <v>179</v>
      </c>
    </row>
  </sheetData>
  <pageMargins left="0.7" right="0.7" top="0.75" bottom="0.75" header="0.3" footer="0.3"/>
  <pageSetup scale="7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E200-00C0-45BD-AC5E-01D83981FD76}">
  <sheetPr>
    <pageSetUpPr fitToPage="1"/>
  </sheetPr>
  <dimension ref="A1:IQ60"/>
  <sheetViews>
    <sheetView topLeftCell="A23" workbookViewId="0">
      <selection activeCell="A28" sqref="A28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1.90625" style="1" customWidth="1"/>
    <col min="4" max="4" width="13.90625" style="23" customWidth="1"/>
    <col min="5" max="5" width="10.81640625" style="1" customWidth="1"/>
    <col min="6" max="6" width="13.08984375" style="23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99</v>
      </c>
      <c r="B2" s="19" t="s">
        <v>189</v>
      </c>
    </row>
    <row r="4" spans="1:6" ht="17.399999999999999" x14ac:dyDescent="0.3">
      <c r="A4" s="21" t="s">
        <v>91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0"/>
    </row>
    <row r="9" spans="1:6" x14ac:dyDescent="0.3">
      <c r="A9" s="1" t="s">
        <v>76</v>
      </c>
      <c r="C9" s="2">
        <f>27650/158*32</f>
        <v>5600</v>
      </c>
      <c r="D9" s="40">
        <f>30000/158*32-8</f>
        <v>6067.9493670886077</v>
      </c>
      <c r="E9" s="2"/>
      <c r="F9" s="40"/>
    </row>
    <row r="10" spans="1:6" x14ac:dyDescent="0.3">
      <c r="A10" s="1" t="s">
        <v>77</v>
      </c>
      <c r="C10" s="2">
        <v>2760</v>
      </c>
      <c r="D10" s="40">
        <v>2150</v>
      </c>
      <c r="E10" s="2"/>
      <c r="F10" s="40"/>
    </row>
    <row r="11" spans="1:6" x14ac:dyDescent="0.3">
      <c r="A11" s="1" t="s">
        <v>78</v>
      </c>
      <c r="C11" s="25">
        <v>2000</v>
      </c>
      <c r="D11" s="67">
        <v>5000</v>
      </c>
      <c r="E11" s="2"/>
      <c r="F11" s="40"/>
    </row>
    <row r="12" spans="1:6" s="27" customFormat="1" ht="18" thickBot="1" x14ac:dyDescent="0.35">
      <c r="A12" s="26" t="s">
        <v>79</v>
      </c>
      <c r="C12" s="71">
        <f>SUM(C9:C11)</f>
        <v>10360</v>
      </c>
      <c r="D12" s="33">
        <f>SUM(D9:D11)</f>
        <v>13217.949367088608</v>
      </c>
      <c r="E12" s="30"/>
      <c r="F12" s="29"/>
    </row>
    <row r="13" spans="1:6" ht="16.2" thickTop="1" x14ac:dyDescent="0.3">
      <c r="C13" s="2"/>
      <c r="D13" s="40"/>
      <c r="E13" s="2"/>
      <c r="F13" s="40"/>
    </row>
    <row r="14" spans="1:6" x14ac:dyDescent="0.3">
      <c r="A14" s="1" t="s">
        <v>80</v>
      </c>
      <c r="C14" s="2">
        <v>1500</v>
      </c>
      <c r="D14" s="40"/>
      <c r="E14" s="2"/>
      <c r="F14" s="40"/>
    </row>
    <row r="15" spans="1:6" x14ac:dyDescent="0.3">
      <c r="A15" s="1" t="s">
        <v>81</v>
      </c>
      <c r="C15" s="25">
        <v>16753</v>
      </c>
      <c r="D15" s="67">
        <v>13665</v>
      </c>
      <c r="E15" s="2"/>
      <c r="F15" s="40"/>
    </row>
    <row r="16" spans="1:6" s="27" customFormat="1" ht="18" thickBot="1" x14ac:dyDescent="0.35">
      <c r="A16" s="26" t="s">
        <v>79</v>
      </c>
      <c r="C16" s="71">
        <f>(C14+C15)</f>
        <v>18253</v>
      </c>
      <c r="D16" s="33">
        <f>D15</f>
        <v>13665</v>
      </c>
      <c r="E16" s="30"/>
      <c r="F16" s="29"/>
    </row>
    <row r="17" spans="1:8" ht="16.2" thickTop="1" x14ac:dyDescent="0.3">
      <c r="C17" s="2"/>
      <c r="D17" s="40"/>
      <c r="E17" s="2"/>
      <c r="F17" s="40"/>
    </row>
    <row r="18" spans="1:8" x14ac:dyDescent="0.3">
      <c r="A18" s="1" t="s">
        <v>82</v>
      </c>
      <c r="C18" s="2">
        <v>7000</v>
      </c>
      <c r="D18" s="40">
        <v>7700</v>
      </c>
      <c r="E18" s="2"/>
      <c r="F18" s="40"/>
    </row>
    <row r="19" spans="1:8" x14ac:dyDescent="0.3">
      <c r="A19" s="1" t="s">
        <v>83</v>
      </c>
      <c r="C19" s="25"/>
      <c r="D19" s="67">
        <v>185968</v>
      </c>
      <c r="E19" s="2"/>
      <c r="F19" s="40"/>
    </row>
    <row r="20" spans="1:8" s="27" customFormat="1" ht="18" thickBot="1" x14ac:dyDescent="0.35">
      <c r="A20" s="26" t="s">
        <v>79</v>
      </c>
      <c r="C20" s="71">
        <f>(C18+C19)</f>
        <v>7000</v>
      </c>
      <c r="D20" s="33">
        <f>SUM(D18+D19)</f>
        <v>193668</v>
      </c>
      <c r="E20" s="30"/>
      <c r="F20" s="29"/>
    </row>
    <row r="21" spans="1:8" ht="16.2" thickTop="1" x14ac:dyDescent="0.3">
      <c r="E21" s="2"/>
    </row>
    <row r="22" spans="1:8" x14ac:dyDescent="0.3">
      <c r="E22" s="2"/>
    </row>
    <row r="23" spans="1:8" s="27" customFormat="1" ht="17.399999999999999" x14ac:dyDescent="0.3">
      <c r="A23" s="31" t="s">
        <v>84</v>
      </c>
      <c r="C23" s="30">
        <f>(C12+C16+C20)</f>
        <v>35613</v>
      </c>
      <c r="D23" s="29">
        <f>SUM(D12+D16+D20)</f>
        <v>220550.94936708861</v>
      </c>
      <c r="E23" s="30"/>
      <c r="F23" s="29"/>
    </row>
    <row r="24" spans="1:8" s="27" customFormat="1" ht="17.399999999999999" x14ac:dyDescent="0.3">
      <c r="A24" s="31" t="s">
        <v>85</v>
      </c>
      <c r="C24" s="72">
        <f>'2025 Budget'!C101</f>
        <v>152145.34939759035</v>
      </c>
      <c r="D24" s="32">
        <f>'2025 Budget'!D101</f>
        <v>158413.8795180723</v>
      </c>
      <c r="E24" s="30"/>
      <c r="F24" s="29"/>
    </row>
    <row r="25" spans="1:8" s="27" customFormat="1" ht="18" thickBot="1" x14ac:dyDescent="0.35">
      <c r="A25" s="31" t="s">
        <v>86</v>
      </c>
      <c r="C25" s="73">
        <f>(C23+C24)</f>
        <v>187758.34939759035</v>
      </c>
      <c r="D25" s="33">
        <f>SUM(D23+D24)</f>
        <v>378964.82888516091</v>
      </c>
      <c r="E25" s="30"/>
      <c r="F25" s="29"/>
      <c r="G25" s="30"/>
    </row>
    <row r="26" spans="1:8" s="27" customFormat="1" ht="18" thickTop="1" x14ac:dyDescent="0.3">
      <c r="A26" s="31"/>
      <c r="C26" s="30"/>
      <c r="D26" s="29"/>
      <c r="E26" s="30"/>
      <c r="F26" s="29"/>
      <c r="G26" s="30"/>
    </row>
    <row r="27" spans="1:8" s="27" customFormat="1" ht="17.399999999999999" x14ac:dyDescent="0.3">
      <c r="A27" s="31" t="s">
        <v>87</v>
      </c>
      <c r="C27" s="30"/>
      <c r="D27" s="29"/>
      <c r="E27" s="30"/>
      <c r="F27" s="29"/>
      <c r="G27" s="30"/>
    </row>
    <row r="28" spans="1:8" x14ac:dyDescent="0.3">
      <c r="A28" s="23" t="s">
        <v>153</v>
      </c>
      <c r="C28" s="17"/>
      <c r="D28" s="68"/>
      <c r="E28" s="34"/>
      <c r="F28" s="40"/>
      <c r="G28" s="2"/>
      <c r="H28" s="35"/>
    </row>
    <row r="29" spans="1:8" x14ac:dyDescent="0.3">
      <c r="C29" s="17"/>
      <c r="D29" s="68"/>
      <c r="E29" s="34"/>
      <c r="F29" s="40"/>
      <c r="G29" s="2"/>
      <c r="H29" s="35"/>
    </row>
    <row r="30" spans="1:8" x14ac:dyDescent="0.3">
      <c r="C30" s="24"/>
      <c r="D30" s="24" t="s">
        <v>88</v>
      </c>
      <c r="E30" s="37"/>
    </row>
    <row r="31" spans="1:8" x14ac:dyDescent="0.3">
      <c r="A31" s="23" t="s">
        <v>105</v>
      </c>
      <c r="C31" s="40"/>
      <c r="D31" s="40">
        <f>D23</f>
        <v>220550.94936708861</v>
      </c>
      <c r="E31" s="37"/>
    </row>
    <row r="32" spans="1:8" x14ac:dyDescent="0.3">
      <c r="A32" s="23" t="s">
        <v>103</v>
      </c>
      <c r="C32" s="48"/>
      <c r="D32" s="67">
        <f>D24</f>
        <v>158413.8795180723</v>
      </c>
      <c r="E32" s="2"/>
      <c r="F32" s="40"/>
      <c r="G32" s="2"/>
    </row>
    <row r="33" spans="1:7" ht="16.2" thickBot="1" x14ac:dyDescent="0.35">
      <c r="A33" s="23" t="s">
        <v>104</v>
      </c>
      <c r="C33" s="48"/>
      <c r="D33" s="101">
        <f>SUM(D31:D32)</f>
        <v>378964.82888516091</v>
      </c>
      <c r="E33" s="2"/>
      <c r="F33" s="40"/>
      <c r="G33" s="2"/>
    </row>
    <row r="34" spans="1:7" ht="18" thickTop="1" x14ac:dyDescent="0.3">
      <c r="A34" s="23"/>
      <c r="C34" s="47"/>
      <c r="D34" s="40"/>
      <c r="E34" s="2"/>
      <c r="F34" s="40"/>
    </row>
    <row r="35" spans="1:7" x14ac:dyDescent="0.3">
      <c r="A35" s="23"/>
      <c r="C35" s="82"/>
      <c r="D35" s="40"/>
      <c r="E35" s="2"/>
      <c r="F35" s="40"/>
    </row>
    <row r="36" spans="1:7" x14ac:dyDescent="0.3">
      <c r="A36" s="23" t="s">
        <v>147</v>
      </c>
      <c r="C36" s="48"/>
      <c r="D36" s="40"/>
      <c r="E36" s="2"/>
      <c r="F36" s="40"/>
    </row>
    <row r="37" spans="1:7" x14ac:dyDescent="0.3">
      <c r="A37" s="23" t="s">
        <v>154</v>
      </c>
      <c r="C37" s="48"/>
      <c r="D37" s="74">
        <v>54400</v>
      </c>
      <c r="E37" s="2"/>
      <c r="F37" s="40"/>
    </row>
    <row r="38" spans="1:7" ht="18" thickBot="1" x14ac:dyDescent="0.35">
      <c r="A38" s="21" t="s">
        <v>155</v>
      </c>
      <c r="C38" s="48"/>
      <c r="D38" s="92">
        <f>SUM(D33+D37)</f>
        <v>433364.82888516091</v>
      </c>
      <c r="E38" s="2"/>
      <c r="F38" s="40"/>
    </row>
    <row r="39" spans="1:7" ht="18" thickTop="1" x14ac:dyDescent="0.3">
      <c r="A39" s="21"/>
      <c r="C39" s="69"/>
      <c r="D39" s="69"/>
      <c r="E39" s="42"/>
      <c r="F39" s="40"/>
    </row>
    <row r="40" spans="1:7" ht="17.399999999999999" x14ac:dyDescent="0.3">
      <c r="A40" s="23" t="s">
        <v>156</v>
      </c>
      <c r="C40" s="102"/>
      <c r="D40" s="102"/>
      <c r="E40" s="2"/>
      <c r="F40" s="40"/>
    </row>
    <row r="41" spans="1:7" x14ac:dyDescent="0.3">
      <c r="A41" s="23"/>
      <c r="C41" s="40"/>
      <c r="D41" s="40"/>
    </row>
    <row r="42" spans="1:7" ht="17.399999999999999" x14ac:dyDescent="0.3">
      <c r="A42" s="21" t="s">
        <v>157</v>
      </c>
      <c r="B42" s="23"/>
      <c r="C42" s="69"/>
      <c r="D42" s="69">
        <f>3279+1321</f>
        <v>4600</v>
      </c>
    </row>
    <row r="43" spans="1:7" ht="17.399999999999999" x14ac:dyDescent="0.3">
      <c r="A43" s="21" t="s">
        <v>106</v>
      </c>
      <c r="B43" s="23"/>
      <c r="C43" s="69"/>
      <c r="D43" s="93">
        <v>425</v>
      </c>
    </row>
    <row r="44" spans="1:7" ht="18" thickBot="1" x14ac:dyDescent="0.35">
      <c r="A44" s="21" t="s">
        <v>116</v>
      </c>
      <c r="B44" s="23"/>
      <c r="C44" s="53"/>
      <c r="D44" s="96">
        <f>SUM(D42+D43)</f>
        <v>5025</v>
      </c>
    </row>
    <row r="45" spans="1:7" ht="16.2" thickTop="1" x14ac:dyDescent="0.3">
      <c r="A45" s="23"/>
      <c r="B45" s="23"/>
      <c r="C45" s="53"/>
      <c r="D45" s="53"/>
    </row>
    <row r="46" spans="1:7" ht="15.75" customHeight="1" x14ac:dyDescent="0.3">
      <c r="A46" s="21" t="s">
        <v>120</v>
      </c>
      <c r="B46" s="23"/>
      <c r="C46" s="53"/>
      <c r="D46" s="53">
        <v>1321</v>
      </c>
    </row>
    <row r="47" spans="1:7" ht="17.399999999999999" x14ac:dyDescent="0.3">
      <c r="A47" s="21" t="s">
        <v>106</v>
      </c>
      <c r="B47" s="23"/>
      <c r="C47" s="53"/>
      <c r="D47" s="95">
        <v>425</v>
      </c>
    </row>
    <row r="48" spans="1:7" ht="18" thickBot="1" x14ac:dyDescent="0.35">
      <c r="A48" s="21" t="s">
        <v>116</v>
      </c>
      <c r="B48" s="23"/>
      <c r="C48" s="53"/>
      <c r="D48" s="96">
        <f>SUM(D46+D47)</f>
        <v>1746</v>
      </c>
    </row>
    <row r="49" spans="1:6" ht="16.2" thickTop="1" x14ac:dyDescent="0.3">
      <c r="A49" s="23"/>
      <c r="B49" s="23"/>
      <c r="C49" s="53"/>
      <c r="D49" s="53"/>
    </row>
    <row r="50" spans="1:6" x14ac:dyDescent="0.3">
      <c r="A50" s="23" t="s">
        <v>158</v>
      </c>
      <c r="B50" s="23" t="s">
        <v>178</v>
      </c>
      <c r="C50" s="53"/>
      <c r="D50" s="53">
        <f>13542*32</f>
        <v>433344</v>
      </c>
    </row>
    <row r="51" spans="1:6" x14ac:dyDescent="0.3">
      <c r="A51" s="23"/>
      <c r="B51" s="23"/>
      <c r="C51" s="53"/>
      <c r="D51" s="53"/>
    </row>
    <row r="52" spans="1:6" x14ac:dyDescent="0.3">
      <c r="A52" s="23"/>
      <c r="B52" s="23"/>
      <c r="C52" s="53"/>
      <c r="D52" s="53"/>
      <c r="F52" s="40"/>
    </row>
    <row r="53" spans="1:6" x14ac:dyDescent="0.3">
      <c r="A53" s="23"/>
      <c r="B53" s="23"/>
      <c r="C53" s="53"/>
      <c r="D53" s="53"/>
    </row>
    <row r="54" spans="1:6" x14ac:dyDescent="0.3">
      <c r="A54" s="23" t="s">
        <v>159</v>
      </c>
      <c r="C54" s="53">
        <v>12143</v>
      </c>
      <c r="D54" s="53"/>
    </row>
    <row r="55" spans="1:6" x14ac:dyDescent="0.3">
      <c r="A55" s="23" t="s">
        <v>172</v>
      </c>
      <c r="C55" s="53">
        <v>1250</v>
      </c>
      <c r="D55" s="53"/>
    </row>
    <row r="56" spans="1:6" x14ac:dyDescent="0.3">
      <c r="A56" s="23" t="s">
        <v>173</v>
      </c>
      <c r="C56" s="23"/>
      <c r="D56" s="53">
        <f>C54+C55</f>
        <v>13393</v>
      </c>
    </row>
    <row r="57" spans="1:6" x14ac:dyDescent="0.3">
      <c r="A57" s="23" t="s">
        <v>170</v>
      </c>
      <c r="C57" s="23"/>
      <c r="D57" s="53">
        <f>13542-13393</f>
        <v>149</v>
      </c>
    </row>
    <row r="60" spans="1:6" x14ac:dyDescent="0.3">
      <c r="A60" s="23" t="s">
        <v>183</v>
      </c>
    </row>
  </sheetData>
  <pageMargins left="0.7" right="0.7" top="0.75" bottom="0.75" header="0.3" footer="0.3"/>
  <pageSetup scale="6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72CD-64FA-49EE-ACFA-21FDC1D38A4B}">
  <sheetPr>
    <pageSetUpPr fitToPage="1"/>
  </sheetPr>
  <dimension ref="A1:IQ58"/>
  <sheetViews>
    <sheetView topLeftCell="A17" workbookViewId="0">
      <selection activeCell="A29" sqref="A29"/>
    </sheetView>
  </sheetViews>
  <sheetFormatPr defaultColWidth="9.6328125" defaultRowHeight="15.6" x14ac:dyDescent="0.3"/>
  <cols>
    <col min="1" max="1" width="13.6328125" style="1" customWidth="1"/>
    <col min="2" max="2" width="17.81640625" style="1" customWidth="1"/>
    <col min="3" max="3" width="10.81640625" style="1" customWidth="1"/>
    <col min="4" max="4" width="11.7265625" style="23" customWidth="1"/>
    <col min="5" max="5" width="10.81640625" style="1" customWidth="1"/>
    <col min="6" max="6" width="11.90625" style="23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101</v>
      </c>
      <c r="B2" s="19" t="s">
        <v>189</v>
      </c>
    </row>
    <row r="3" spans="1:6" x14ac:dyDescent="0.3">
      <c r="A3" s="2"/>
    </row>
    <row r="4" spans="1:6" ht="17.399999999999999" x14ac:dyDescent="0.3">
      <c r="A4" s="21" t="s">
        <v>92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0"/>
    </row>
    <row r="9" spans="1:6" x14ac:dyDescent="0.3">
      <c r="A9" s="1" t="s">
        <v>76</v>
      </c>
      <c r="C9" s="2">
        <f>27650/158*30</f>
        <v>5250</v>
      </c>
      <c r="D9" s="40">
        <f>30000/158*30-9</f>
        <v>5687.2025316455693</v>
      </c>
      <c r="E9" s="2"/>
      <c r="F9" s="40"/>
    </row>
    <row r="10" spans="1:6" x14ac:dyDescent="0.3">
      <c r="A10" s="1" t="s">
        <v>77</v>
      </c>
      <c r="C10" s="2">
        <v>5520</v>
      </c>
      <c r="D10" s="40">
        <v>4300</v>
      </c>
      <c r="E10" s="2"/>
      <c r="F10" s="40"/>
    </row>
    <row r="11" spans="1:6" x14ac:dyDescent="0.3">
      <c r="A11" s="1" t="s">
        <v>78</v>
      </c>
      <c r="C11" s="25">
        <v>2000</v>
      </c>
      <c r="D11" s="67">
        <v>4000</v>
      </c>
      <c r="E11" s="2"/>
      <c r="F11" s="40"/>
    </row>
    <row r="12" spans="1:6" s="27" customFormat="1" ht="18" thickBot="1" x14ac:dyDescent="0.35">
      <c r="A12" s="26" t="s">
        <v>79</v>
      </c>
      <c r="C12" s="71">
        <f>SUM(C9:C11)</f>
        <v>12770</v>
      </c>
      <c r="D12" s="33">
        <f>SUM(D9:D11)</f>
        <v>13987.202531645569</v>
      </c>
      <c r="E12" s="30"/>
      <c r="F12" s="29"/>
    </row>
    <row r="13" spans="1:6" ht="16.2" thickTop="1" x14ac:dyDescent="0.3">
      <c r="C13" s="2"/>
      <c r="D13" s="40"/>
      <c r="E13" s="2"/>
      <c r="F13" s="40"/>
    </row>
    <row r="14" spans="1:6" x14ac:dyDescent="0.3">
      <c r="A14" s="1" t="s">
        <v>80</v>
      </c>
      <c r="C14" s="2">
        <v>1500</v>
      </c>
      <c r="D14" s="40"/>
      <c r="E14" s="2"/>
      <c r="F14" s="40"/>
    </row>
    <row r="15" spans="1:6" x14ac:dyDescent="0.3">
      <c r="A15" s="1" t="s">
        <v>81</v>
      </c>
      <c r="C15" s="25">
        <v>15655</v>
      </c>
      <c r="D15" s="67">
        <v>12830</v>
      </c>
      <c r="E15" s="2"/>
      <c r="F15" s="40"/>
    </row>
    <row r="16" spans="1:6" s="27" customFormat="1" ht="18" thickBot="1" x14ac:dyDescent="0.35">
      <c r="A16" s="26" t="s">
        <v>79</v>
      </c>
      <c r="C16" s="71">
        <f>SUM(C14:C15)</f>
        <v>17155</v>
      </c>
      <c r="D16" s="33">
        <f>D15</f>
        <v>12830</v>
      </c>
      <c r="E16" s="30"/>
      <c r="F16" s="29"/>
    </row>
    <row r="17" spans="1:8" ht="16.2" thickTop="1" x14ac:dyDescent="0.3">
      <c r="C17" s="2"/>
      <c r="D17" s="40"/>
      <c r="E17" s="2"/>
      <c r="F17" s="40"/>
    </row>
    <row r="18" spans="1:8" x14ac:dyDescent="0.3">
      <c r="A18" s="1" t="s">
        <v>82</v>
      </c>
      <c r="C18" s="2">
        <v>6700</v>
      </c>
      <c r="D18" s="40">
        <v>7370</v>
      </c>
      <c r="E18" s="2"/>
      <c r="F18" s="40"/>
    </row>
    <row r="19" spans="1:8" x14ac:dyDescent="0.3">
      <c r="A19" s="1" t="s">
        <v>83</v>
      </c>
      <c r="C19" s="25"/>
      <c r="D19" s="67">
        <v>152656</v>
      </c>
      <c r="E19" s="2"/>
      <c r="F19" s="40"/>
    </row>
    <row r="20" spans="1:8" s="27" customFormat="1" ht="18" thickBot="1" x14ac:dyDescent="0.35">
      <c r="A20" s="26" t="s">
        <v>79</v>
      </c>
      <c r="C20" s="71">
        <f>SUM(C18:C19)</f>
        <v>6700</v>
      </c>
      <c r="D20" s="33">
        <f>SUM(D18+D19)</f>
        <v>160026</v>
      </c>
      <c r="E20" s="30"/>
      <c r="F20" s="29"/>
    </row>
    <row r="21" spans="1:8" ht="16.2" thickTop="1" x14ac:dyDescent="0.3">
      <c r="E21" s="2"/>
    </row>
    <row r="22" spans="1:8" x14ac:dyDescent="0.3">
      <c r="E22" s="2"/>
    </row>
    <row r="23" spans="1:8" s="27" customFormat="1" ht="17.399999999999999" x14ac:dyDescent="0.3">
      <c r="A23" s="31" t="s">
        <v>84</v>
      </c>
      <c r="C23" s="30">
        <f>SUM(C12+C16+C20)</f>
        <v>36625</v>
      </c>
      <c r="D23" s="29">
        <f>SUM(D12+D16+D20)</f>
        <v>186843.20253164557</v>
      </c>
      <c r="E23" s="30"/>
      <c r="F23" s="29"/>
    </row>
    <row r="24" spans="1:8" s="27" customFormat="1" ht="17.399999999999999" x14ac:dyDescent="0.3">
      <c r="A24" s="31" t="s">
        <v>85</v>
      </c>
      <c r="C24" s="72">
        <f>'2025 Budget'!C102</f>
        <v>142636.26506024096</v>
      </c>
      <c r="D24" s="29">
        <f>'2025 Budget'!D102</f>
        <v>148513.01204819279</v>
      </c>
      <c r="E24" s="30"/>
      <c r="F24" s="29"/>
    </row>
    <row r="25" spans="1:8" s="27" customFormat="1" ht="18" thickBot="1" x14ac:dyDescent="0.35">
      <c r="A25" s="1" t="s">
        <v>86</v>
      </c>
      <c r="C25" s="73">
        <f>SUM(C23+C24)</f>
        <v>179261.26506024096</v>
      </c>
      <c r="D25" s="29">
        <f>SUM(D23+D24)</f>
        <v>335356.21457983833</v>
      </c>
      <c r="E25" s="30"/>
      <c r="F25" s="29"/>
      <c r="G25" s="30"/>
    </row>
    <row r="26" spans="1:8" s="27" customFormat="1" ht="18" thickTop="1" x14ac:dyDescent="0.3">
      <c r="A26" s="31"/>
      <c r="C26" s="30"/>
      <c r="D26" s="29"/>
      <c r="E26" s="30"/>
      <c r="F26" s="29"/>
      <c r="G26" s="30"/>
    </row>
    <row r="27" spans="1:8" s="27" customFormat="1" ht="17.399999999999999" x14ac:dyDescent="0.3">
      <c r="A27" s="31" t="s">
        <v>87</v>
      </c>
      <c r="C27" s="30"/>
      <c r="D27" s="29"/>
      <c r="E27" s="30"/>
      <c r="F27" s="29"/>
      <c r="G27" s="30"/>
    </row>
    <row r="28" spans="1:8" x14ac:dyDescent="0.3">
      <c r="C28" s="17"/>
      <c r="D28" s="68"/>
      <c r="E28" s="34"/>
      <c r="F28" s="40"/>
      <c r="G28" s="2"/>
      <c r="H28" s="35"/>
    </row>
    <row r="29" spans="1:8" ht="16.8" x14ac:dyDescent="0.3">
      <c r="A29" s="36" t="s">
        <v>153</v>
      </c>
      <c r="C29" s="17"/>
      <c r="D29" s="68"/>
      <c r="E29" s="34"/>
      <c r="F29" s="40"/>
      <c r="G29" s="2"/>
      <c r="H29" s="35"/>
    </row>
    <row r="30" spans="1:8" x14ac:dyDescent="0.3">
      <c r="C30" s="24"/>
      <c r="D30" s="24" t="s">
        <v>88</v>
      </c>
      <c r="E30" s="37"/>
    </row>
    <row r="31" spans="1:8" x14ac:dyDescent="0.3">
      <c r="C31" s="23"/>
      <c r="E31" s="37"/>
    </row>
    <row r="32" spans="1:8" ht="17.399999999999999" x14ac:dyDescent="0.3">
      <c r="A32" s="23" t="s">
        <v>105</v>
      </c>
      <c r="C32" s="47"/>
      <c r="D32" s="40">
        <f>D23</f>
        <v>186843.20253164557</v>
      </c>
      <c r="E32" s="2"/>
      <c r="F32" s="40"/>
      <c r="G32" s="2"/>
    </row>
    <row r="33" spans="1:7" ht="17.399999999999999" x14ac:dyDescent="0.3">
      <c r="A33" s="23" t="s">
        <v>103</v>
      </c>
      <c r="C33" s="47"/>
      <c r="D33" s="67">
        <f>D24</f>
        <v>148513.01204819279</v>
      </c>
      <c r="E33" s="2"/>
      <c r="F33" s="40"/>
      <c r="G33" s="2"/>
    </row>
    <row r="34" spans="1:7" ht="18" thickBot="1" x14ac:dyDescent="0.35">
      <c r="A34" s="23" t="s">
        <v>104</v>
      </c>
      <c r="C34" s="47"/>
      <c r="D34" s="101">
        <f>SUM(D32:D33)</f>
        <v>335356.21457983833</v>
      </c>
      <c r="E34" s="2"/>
      <c r="F34" s="40"/>
    </row>
    <row r="35" spans="1:7" ht="16.2" thickTop="1" x14ac:dyDescent="0.3">
      <c r="A35" s="23"/>
      <c r="C35" s="48"/>
      <c r="D35" s="40"/>
      <c r="E35" s="2"/>
      <c r="F35" s="40"/>
    </row>
    <row r="36" spans="1:7" x14ac:dyDescent="0.3">
      <c r="A36" s="23" t="s">
        <v>147</v>
      </c>
      <c r="B36" s="23"/>
      <c r="C36" s="48"/>
      <c r="D36" s="40"/>
      <c r="E36" s="2"/>
      <c r="F36" s="40"/>
    </row>
    <row r="37" spans="1:7" x14ac:dyDescent="0.3">
      <c r="A37" s="23" t="s">
        <v>154</v>
      </c>
      <c r="B37" s="23"/>
      <c r="C37" s="48"/>
      <c r="D37" s="48">
        <v>51000</v>
      </c>
      <c r="E37" s="2"/>
      <c r="F37" s="40"/>
    </row>
    <row r="38" spans="1:7" ht="16.2" thickBot="1" x14ac:dyDescent="0.35">
      <c r="A38" s="23" t="s">
        <v>155</v>
      </c>
      <c r="C38" s="48"/>
      <c r="D38" s="100">
        <f>SUM(D34+D37)</f>
        <v>386356.21457983833</v>
      </c>
      <c r="E38" s="2"/>
      <c r="F38" s="40"/>
    </row>
    <row r="39" spans="1:7" ht="18" thickTop="1" x14ac:dyDescent="0.3">
      <c r="A39" s="21"/>
      <c r="C39" s="47"/>
      <c r="D39" s="47"/>
      <c r="E39" s="2"/>
      <c r="F39" s="40"/>
    </row>
    <row r="40" spans="1:7" ht="17.399999999999999" x14ac:dyDescent="0.3">
      <c r="A40" s="21" t="s">
        <v>156</v>
      </c>
      <c r="C40" s="69"/>
      <c r="D40" s="53"/>
      <c r="E40" s="42"/>
      <c r="F40" s="40"/>
    </row>
    <row r="41" spans="1:7" ht="17.399999999999999" x14ac:dyDescent="0.3">
      <c r="A41" s="23"/>
      <c r="B41" s="23"/>
      <c r="C41" s="48"/>
      <c r="D41" s="70"/>
      <c r="E41" s="77"/>
      <c r="F41" s="40"/>
    </row>
    <row r="42" spans="1:7" ht="17.399999999999999" x14ac:dyDescent="0.3">
      <c r="A42" s="21" t="s">
        <v>157</v>
      </c>
      <c r="B42" s="23"/>
      <c r="C42" s="69"/>
      <c r="D42" s="69">
        <f>1335+2920</f>
        <v>4255</v>
      </c>
    </row>
    <row r="43" spans="1:7" x14ac:dyDescent="0.3">
      <c r="A43" s="23" t="s">
        <v>106</v>
      </c>
      <c r="B43" s="23"/>
      <c r="C43" s="53"/>
      <c r="D43" s="95">
        <v>425</v>
      </c>
    </row>
    <row r="44" spans="1:7" ht="16.2" thickBot="1" x14ac:dyDescent="0.35">
      <c r="A44" s="23" t="s">
        <v>116</v>
      </c>
      <c r="B44" s="23"/>
      <c r="C44" s="53"/>
      <c r="D44" s="96">
        <f>SUM(D42+D43)</f>
        <v>4680</v>
      </c>
    </row>
    <row r="45" spans="1:7" ht="16.2" thickTop="1" x14ac:dyDescent="0.3">
      <c r="A45" s="23"/>
      <c r="B45" s="23"/>
      <c r="C45" s="53"/>
      <c r="D45" s="53"/>
    </row>
    <row r="46" spans="1:7" x14ac:dyDescent="0.3">
      <c r="A46" s="23" t="s">
        <v>120</v>
      </c>
      <c r="B46" s="23"/>
      <c r="C46" s="53"/>
      <c r="D46" s="53">
        <v>1335</v>
      </c>
    </row>
    <row r="47" spans="1:7" ht="15.75" customHeight="1" x14ac:dyDescent="0.3">
      <c r="A47" s="23" t="s">
        <v>106</v>
      </c>
      <c r="B47" s="23"/>
      <c r="C47" s="53"/>
      <c r="D47" s="95">
        <v>425</v>
      </c>
    </row>
    <row r="48" spans="1:7" ht="16.2" thickBot="1" x14ac:dyDescent="0.35">
      <c r="A48" s="23" t="s">
        <v>116</v>
      </c>
      <c r="B48" s="23"/>
      <c r="C48" s="53"/>
      <c r="D48" s="96">
        <f>SUM(D46+D47)</f>
        <v>1760</v>
      </c>
    </row>
    <row r="49" spans="1:6" ht="16.2" thickTop="1" x14ac:dyDescent="0.3">
      <c r="A49" s="23"/>
      <c r="B49" s="23"/>
      <c r="C49" s="53"/>
      <c r="D49" s="53"/>
    </row>
    <row r="50" spans="1:6" x14ac:dyDescent="0.3">
      <c r="A50" s="23" t="s">
        <v>158</v>
      </c>
      <c r="B50" s="23" t="s">
        <v>184</v>
      </c>
      <c r="C50" s="53"/>
      <c r="D50" s="53">
        <f>12880*30</f>
        <v>386400</v>
      </c>
    </row>
    <row r="51" spans="1:6" x14ac:dyDescent="0.3">
      <c r="A51" s="23"/>
      <c r="B51" s="23"/>
      <c r="C51" s="53"/>
    </row>
    <row r="52" spans="1:6" ht="17.399999999999999" x14ac:dyDescent="0.3">
      <c r="A52" s="21"/>
      <c r="C52" s="53"/>
    </row>
    <row r="53" spans="1:6" x14ac:dyDescent="0.3">
      <c r="A53" s="23"/>
      <c r="C53" s="53"/>
      <c r="D53" s="40"/>
      <c r="F53" s="40"/>
    </row>
    <row r="54" spans="1:6" x14ac:dyDescent="0.3">
      <c r="A54" s="23" t="s">
        <v>171</v>
      </c>
      <c r="C54" s="53">
        <v>11318</v>
      </c>
      <c r="D54" s="53"/>
    </row>
    <row r="55" spans="1:6" x14ac:dyDescent="0.3">
      <c r="A55" s="23" t="s">
        <v>172</v>
      </c>
      <c r="C55" s="53">
        <v>1250</v>
      </c>
      <c r="D55" s="53"/>
    </row>
    <row r="56" spans="1:6" x14ac:dyDescent="0.3">
      <c r="A56" s="23" t="s">
        <v>173</v>
      </c>
      <c r="C56" s="53"/>
      <c r="D56" s="53">
        <f>C54+C55</f>
        <v>12568</v>
      </c>
    </row>
    <row r="57" spans="1:6" x14ac:dyDescent="0.3">
      <c r="A57" s="23" t="s">
        <v>170</v>
      </c>
      <c r="C57" s="53"/>
      <c r="D57" s="53">
        <f>12836-12568</f>
        <v>268</v>
      </c>
    </row>
    <row r="58" spans="1:6" x14ac:dyDescent="0.3">
      <c r="C58" s="42"/>
    </row>
  </sheetData>
  <pageMargins left="0.7" right="0.7" top="0.75" bottom="0.75" header="0.3" footer="0.3"/>
  <pageSetup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D225-6525-49EA-80DC-3E5C6DCB9ED7}">
  <sheetPr>
    <pageSetUpPr fitToPage="1"/>
  </sheetPr>
  <dimension ref="A1:IQ55"/>
  <sheetViews>
    <sheetView topLeftCell="A14" workbookViewId="0">
      <selection activeCell="A27" sqref="A27"/>
    </sheetView>
  </sheetViews>
  <sheetFormatPr defaultColWidth="9.6328125" defaultRowHeight="15.6" x14ac:dyDescent="0.3"/>
  <cols>
    <col min="1" max="1" width="13.6328125" style="1" customWidth="1"/>
    <col min="2" max="2" width="19" style="1" customWidth="1"/>
    <col min="3" max="3" width="10.81640625" style="1" customWidth="1"/>
    <col min="4" max="4" width="11" style="23" bestFit="1" customWidth="1"/>
    <col min="5" max="5" width="10.81640625" style="1" customWidth="1"/>
    <col min="6" max="6" width="11.1796875" style="23" customWidth="1"/>
    <col min="7" max="251" width="9.6328125" style="1"/>
    <col min="255" max="255" width="13.6328125" customWidth="1"/>
    <col min="256" max="256" width="17.81640625" customWidth="1"/>
    <col min="257" max="257" width="11.81640625" customWidth="1"/>
    <col min="258" max="258" width="5.81640625" customWidth="1"/>
    <col min="259" max="259" width="10.81640625" customWidth="1"/>
    <col min="260" max="260" width="5.81640625" customWidth="1"/>
    <col min="261" max="261" width="10.81640625" customWidth="1"/>
    <col min="262" max="262" width="15.6328125" customWidth="1"/>
    <col min="511" max="511" width="13.6328125" customWidth="1"/>
    <col min="512" max="512" width="17.81640625" customWidth="1"/>
    <col min="513" max="513" width="11.81640625" customWidth="1"/>
    <col min="514" max="514" width="5.81640625" customWidth="1"/>
    <col min="515" max="515" width="10.81640625" customWidth="1"/>
    <col min="516" max="516" width="5.81640625" customWidth="1"/>
    <col min="517" max="517" width="10.81640625" customWidth="1"/>
    <col min="518" max="518" width="15.6328125" customWidth="1"/>
    <col min="767" max="767" width="13.6328125" customWidth="1"/>
    <col min="768" max="768" width="17.81640625" customWidth="1"/>
    <col min="769" max="769" width="11.81640625" customWidth="1"/>
    <col min="770" max="770" width="5.81640625" customWidth="1"/>
    <col min="771" max="771" width="10.81640625" customWidth="1"/>
    <col min="772" max="772" width="5.81640625" customWidth="1"/>
    <col min="773" max="773" width="10.81640625" customWidth="1"/>
    <col min="774" max="774" width="15.6328125" customWidth="1"/>
    <col min="1023" max="1023" width="13.6328125" customWidth="1"/>
    <col min="1024" max="1024" width="17.81640625" customWidth="1"/>
    <col min="1025" max="1025" width="11.81640625" customWidth="1"/>
    <col min="1026" max="1026" width="5.81640625" customWidth="1"/>
    <col min="1027" max="1027" width="10.81640625" customWidth="1"/>
    <col min="1028" max="1028" width="5.81640625" customWidth="1"/>
    <col min="1029" max="1029" width="10.81640625" customWidth="1"/>
    <col min="1030" max="1030" width="15.6328125" customWidth="1"/>
    <col min="1279" max="1279" width="13.6328125" customWidth="1"/>
    <col min="1280" max="1280" width="17.81640625" customWidth="1"/>
    <col min="1281" max="1281" width="11.81640625" customWidth="1"/>
    <col min="1282" max="1282" width="5.81640625" customWidth="1"/>
    <col min="1283" max="1283" width="10.81640625" customWidth="1"/>
    <col min="1284" max="1284" width="5.81640625" customWidth="1"/>
    <col min="1285" max="1285" width="10.81640625" customWidth="1"/>
    <col min="1286" max="1286" width="15.6328125" customWidth="1"/>
    <col min="1535" max="1535" width="13.6328125" customWidth="1"/>
    <col min="1536" max="1536" width="17.81640625" customWidth="1"/>
    <col min="1537" max="1537" width="11.81640625" customWidth="1"/>
    <col min="1538" max="1538" width="5.81640625" customWidth="1"/>
    <col min="1539" max="1539" width="10.81640625" customWidth="1"/>
    <col min="1540" max="1540" width="5.81640625" customWidth="1"/>
    <col min="1541" max="1541" width="10.81640625" customWidth="1"/>
    <col min="1542" max="1542" width="15.6328125" customWidth="1"/>
    <col min="1791" max="1791" width="13.6328125" customWidth="1"/>
    <col min="1792" max="1792" width="17.81640625" customWidth="1"/>
    <col min="1793" max="1793" width="11.81640625" customWidth="1"/>
    <col min="1794" max="1794" width="5.81640625" customWidth="1"/>
    <col min="1795" max="1795" width="10.81640625" customWidth="1"/>
    <col min="1796" max="1796" width="5.81640625" customWidth="1"/>
    <col min="1797" max="1797" width="10.81640625" customWidth="1"/>
    <col min="1798" max="1798" width="15.6328125" customWidth="1"/>
    <col min="2047" max="2047" width="13.6328125" customWidth="1"/>
    <col min="2048" max="2048" width="17.81640625" customWidth="1"/>
    <col min="2049" max="2049" width="11.81640625" customWidth="1"/>
    <col min="2050" max="2050" width="5.81640625" customWidth="1"/>
    <col min="2051" max="2051" width="10.81640625" customWidth="1"/>
    <col min="2052" max="2052" width="5.81640625" customWidth="1"/>
    <col min="2053" max="2053" width="10.81640625" customWidth="1"/>
    <col min="2054" max="2054" width="15.6328125" customWidth="1"/>
    <col min="2303" max="2303" width="13.6328125" customWidth="1"/>
    <col min="2304" max="2304" width="17.81640625" customWidth="1"/>
    <col min="2305" max="2305" width="11.81640625" customWidth="1"/>
    <col min="2306" max="2306" width="5.81640625" customWidth="1"/>
    <col min="2307" max="2307" width="10.81640625" customWidth="1"/>
    <col min="2308" max="2308" width="5.81640625" customWidth="1"/>
    <col min="2309" max="2309" width="10.81640625" customWidth="1"/>
    <col min="2310" max="2310" width="15.6328125" customWidth="1"/>
    <col min="2559" max="2559" width="13.6328125" customWidth="1"/>
    <col min="2560" max="2560" width="17.81640625" customWidth="1"/>
    <col min="2561" max="2561" width="11.81640625" customWidth="1"/>
    <col min="2562" max="2562" width="5.81640625" customWidth="1"/>
    <col min="2563" max="2563" width="10.81640625" customWidth="1"/>
    <col min="2564" max="2564" width="5.81640625" customWidth="1"/>
    <col min="2565" max="2565" width="10.81640625" customWidth="1"/>
    <col min="2566" max="2566" width="15.6328125" customWidth="1"/>
    <col min="2815" max="2815" width="13.6328125" customWidth="1"/>
    <col min="2816" max="2816" width="17.81640625" customWidth="1"/>
    <col min="2817" max="2817" width="11.81640625" customWidth="1"/>
    <col min="2818" max="2818" width="5.81640625" customWidth="1"/>
    <col min="2819" max="2819" width="10.81640625" customWidth="1"/>
    <col min="2820" max="2820" width="5.81640625" customWidth="1"/>
    <col min="2821" max="2821" width="10.81640625" customWidth="1"/>
    <col min="2822" max="2822" width="15.6328125" customWidth="1"/>
    <col min="3071" max="3071" width="13.6328125" customWidth="1"/>
    <col min="3072" max="3072" width="17.81640625" customWidth="1"/>
    <col min="3073" max="3073" width="11.81640625" customWidth="1"/>
    <col min="3074" max="3074" width="5.81640625" customWidth="1"/>
    <col min="3075" max="3075" width="10.81640625" customWidth="1"/>
    <col min="3076" max="3076" width="5.81640625" customWidth="1"/>
    <col min="3077" max="3077" width="10.81640625" customWidth="1"/>
    <col min="3078" max="3078" width="15.6328125" customWidth="1"/>
    <col min="3327" max="3327" width="13.6328125" customWidth="1"/>
    <col min="3328" max="3328" width="17.81640625" customWidth="1"/>
    <col min="3329" max="3329" width="11.81640625" customWidth="1"/>
    <col min="3330" max="3330" width="5.81640625" customWidth="1"/>
    <col min="3331" max="3331" width="10.81640625" customWidth="1"/>
    <col min="3332" max="3332" width="5.81640625" customWidth="1"/>
    <col min="3333" max="3333" width="10.81640625" customWidth="1"/>
    <col min="3334" max="3334" width="15.6328125" customWidth="1"/>
    <col min="3583" max="3583" width="13.6328125" customWidth="1"/>
    <col min="3584" max="3584" width="17.81640625" customWidth="1"/>
    <col min="3585" max="3585" width="11.81640625" customWidth="1"/>
    <col min="3586" max="3586" width="5.81640625" customWidth="1"/>
    <col min="3587" max="3587" width="10.81640625" customWidth="1"/>
    <col min="3588" max="3588" width="5.81640625" customWidth="1"/>
    <col min="3589" max="3589" width="10.81640625" customWidth="1"/>
    <col min="3590" max="3590" width="15.6328125" customWidth="1"/>
    <col min="3839" max="3839" width="13.6328125" customWidth="1"/>
    <col min="3840" max="3840" width="17.81640625" customWidth="1"/>
    <col min="3841" max="3841" width="11.81640625" customWidth="1"/>
    <col min="3842" max="3842" width="5.81640625" customWidth="1"/>
    <col min="3843" max="3843" width="10.81640625" customWidth="1"/>
    <col min="3844" max="3844" width="5.81640625" customWidth="1"/>
    <col min="3845" max="3845" width="10.81640625" customWidth="1"/>
    <col min="3846" max="3846" width="15.6328125" customWidth="1"/>
    <col min="4095" max="4095" width="13.6328125" customWidth="1"/>
    <col min="4096" max="4096" width="17.81640625" customWidth="1"/>
    <col min="4097" max="4097" width="11.81640625" customWidth="1"/>
    <col min="4098" max="4098" width="5.81640625" customWidth="1"/>
    <col min="4099" max="4099" width="10.81640625" customWidth="1"/>
    <col min="4100" max="4100" width="5.81640625" customWidth="1"/>
    <col min="4101" max="4101" width="10.81640625" customWidth="1"/>
    <col min="4102" max="4102" width="15.6328125" customWidth="1"/>
    <col min="4351" max="4351" width="13.6328125" customWidth="1"/>
    <col min="4352" max="4352" width="17.81640625" customWidth="1"/>
    <col min="4353" max="4353" width="11.81640625" customWidth="1"/>
    <col min="4354" max="4354" width="5.81640625" customWidth="1"/>
    <col min="4355" max="4355" width="10.81640625" customWidth="1"/>
    <col min="4356" max="4356" width="5.81640625" customWidth="1"/>
    <col min="4357" max="4357" width="10.81640625" customWidth="1"/>
    <col min="4358" max="4358" width="15.6328125" customWidth="1"/>
    <col min="4607" max="4607" width="13.6328125" customWidth="1"/>
    <col min="4608" max="4608" width="17.81640625" customWidth="1"/>
    <col min="4609" max="4609" width="11.81640625" customWidth="1"/>
    <col min="4610" max="4610" width="5.81640625" customWidth="1"/>
    <col min="4611" max="4611" width="10.81640625" customWidth="1"/>
    <col min="4612" max="4612" width="5.81640625" customWidth="1"/>
    <col min="4613" max="4613" width="10.81640625" customWidth="1"/>
    <col min="4614" max="4614" width="15.6328125" customWidth="1"/>
    <col min="4863" max="4863" width="13.6328125" customWidth="1"/>
    <col min="4864" max="4864" width="17.81640625" customWidth="1"/>
    <col min="4865" max="4865" width="11.81640625" customWidth="1"/>
    <col min="4866" max="4866" width="5.81640625" customWidth="1"/>
    <col min="4867" max="4867" width="10.81640625" customWidth="1"/>
    <col min="4868" max="4868" width="5.81640625" customWidth="1"/>
    <col min="4869" max="4869" width="10.81640625" customWidth="1"/>
    <col min="4870" max="4870" width="15.6328125" customWidth="1"/>
    <col min="5119" max="5119" width="13.6328125" customWidth="1"/>
    <col min="5120" max="5120" width="17.81640625" customWidth="1"/>
    <col min="5121" max="5121" width="11.81640625" customWidth="1"/>
    <col min="5122" max="5122" width="5.81640625" customWidth="1"/>
    <col min="5123" max="5123" width="10.81640625" customWidth="1"/>
    <col min="5124" max="5124" width="5.81640625" customWidth="1"/>
    <col min="5125" max="5125" width="10.81640625" customWidth="1"/>
    <col min="5126" max="5126" width="15.6328125" customWidth="1"/>
    <col min="5375" max="5375" width="13.6328125" customWidth="1"/>
    <col min="5376" max="5376" width="17.81640625" customWidth="1"/>
    <col min="5377" max="5377" width="11.81640625" customWidth="1"/>
    <col min="5378" max="5378" width="5.81640625" customWidth="1"/>
    <col min="5379" max="5379" width="10.81640625" customWidth="1"/>
    <col min="5380" max="5380" width="5.81640625" customWidth="1"/>
    <col min="5381" max="5381" width="10.81640625" customWidth="1"/>
    <col min="5382" max="5382" width="15.6328125" customWidth="1"/>
    <col min="5631" max="5631" width="13.6328125" customWidth="1"/>
    <col min="5632" max="5632" width="17.81640625" customWidth="1"/>
    <col min="5633" max="5633" width="11.81640625" customWidth="1"/>
    <col min="5634" max="5634" width="5.81640625" customWidth="1"/>
    <col min="5635" max="5635" width="10.81640625" customWidth="1"/>
    <col min="5636" max="5636" width="5.81640625" customWidth="1"/>
    <col min="5637" max="5637" width="10.81640625" customWidth="1"/>
    <col min="5638" max="5638" width="15.6328125" customWidth="1"/>
    <col min="5887" max="5887" width="13.6328125" customWidth="1"/>
    <col min="5888" max="5888" width="17.81640625" customWidth="1"/>
    <col min="5889" max="5889" width="11.81640625" customWidth="1"/>
    <col min="5890" max="5890" width="5.81640625" customWidth="1"/>
    <col min="5891" max="5891" width="10.81640625" customWidth="1"/>
    <col min="5892" max="5892" width="5.81640625" customWidth="1"/>
    <col min="5893" max="5893" width="10.81640625" customWidth="1"/>
    <col min="5894" max="5894" width="15.6328125" customWidth="1"/>
    <col min="6143" max="6143" width="13.6328125" customWidth="1"/>
    <col min="6144" max="6144" width="17.81640625" customWidth="1"/>
    <col min="6145" max="6145" width="11.81640625" customWidth="1"/>
    <col min="6146" max="6146" width="5.81640625" customWidth="1"/>
    <col min="6147" max="6147" width="10.81640625" customWidth="1"/>
    <col min="6148" max="6148" width="5.81640625" customWidth="1"/>
    <col min="6149" max="6149" width="10.81640625" customWidth="1"/>
    <col min="6150" max="6150" width="15.6328125" customWidth="1"/>
    <col min="6399" max="6399" width="13.6328125" customWidth="1"/>
    <col min="6400" max="6400" width="17.81640625" customWidth="1"/>
    <col min="6401" max="6401" width="11.81640625" customWidth="1"/>
    <col min="6402" max="6402" width="5.81640625" customWidth="1"/>
    <col min="6403" max="6403" width="10.81640625" customWidth="1"/>
    <col min="6404" max="6404" width="5.81640625" customWidth="1"/>
    <col min="6405" max="6405" width="10.81640625" customWidth="1"/>
    <col min="6406" max="6406" width="15.6328125" customWidth="1"/>
    <col min="6655" max="6655" width="13.6328125" customWidth="1"/>
    <col min="6656" max="6656" width="17.81640625" customWidth="1"/>
    <col min="6657" max="6657" width="11.81640625" customWidth="1"/>
    <col min="6658" max="6658" width="5.81640625" customWidth="1"/>
    <col min="6659" max="6659" width="10.81640625" customWidth="1"/>
    <col min="6660" max="6660" width="5.81640625" customWidth="1"/>
    <col min="6661" max="6661" width="10.81640625" customWidth="1"/>
    <col min="6662" max="6662" width="15.6328125" customWidth="1"/>
    <col min="6911" max="6911" width="13.6328125" customWidth="1"/>
    <col min="6912" max="6912" width="17.81640625" customWidth="1"/>
    <col min="6913" max="6913" width="11.81640625" customWidth="1"/>
    <col min="6914" max="6914" width="5.81640625" customWidth="1"/>
    <col min="6915" max="6915" width="10.81640625" customWidth="1"/>
    <col min="6916" max="6916" width="5.81640625" customWidth="1"/>
    <col min="6917" max="6917" width="10.81640625" customWidth="1"/>
    <col min="6918" max="6918" width="15.6328125" customWidth="1"/>
    <col min="7167" max="7167" width="13.6328125" customWidth="1"/>
    <col min="7168" max="7168" width="17.81640625" customWidth="1"/>
    <col min="7169" max="7169" width="11.81640625" customWidth="1"/>
    <col min="7170" max="7170" width="5.81640625" customWidth="1"/>
    <col min="7171" max="7171" width="10.81640625" customWidth="1"/>
    <col min="7172" max="7172" width="5.81640625" customWidth="1"/>
    <col min="7173" max="7173" width="10.81640625" customWidth="1"/>
    <col min="7174" max="7174" width="15.6328125" customWidth="1"/>
    <col min="7423" max="7423" width="13.6328125" customWidth="1"/>
    <col min="7424" max="7424" width="17.81640625" customWidth="1"/>
    <col min="7425" max="7425" width="11.81640625" customWidth="1"/>
    <col min="7426" max="7426" width="5.81640625" customWidth="1"/>
    <col min="7427" max="7427" width="10.81640625" customWidth="1"/>
    <col min="7428" max="7428" width="5.81640625" customWidth="1"/>
    <col min="7429" max="7429" width="10.81640625" customWidth="1"/>
    <col min="7430" max="7430" width="15.6328125" customWidth="1"/>
    <col min="7679" max="7679" width="13.6328125" customWidth="1"/>
    <col min="7680" max="7680" width="17.81640625" customWidth="1"/>
    <col min="7681" max="7681" width="11.81640625" customWidth="1"/>
    <col min="7682" max="7682" width="5.81640625" customWidth="1"/>
    <col min="7683" max="7683" width="10.81640625" customWidth="1"/>
    <col min="7684" max="7684" width="5.81640625" customWidth="1"/>
    <col min="7685" max="7685" width="10.81640625" customWidth="1"/>
    <col min="7686" max="7686" width="15.6328125" customWidth="1"/>
    <col min="7935" max="7935" width="13.6328125" customWidth="1"/>
    <col min="7936" max="7936" width="17.81640625" customWidth="1"/>
    <col min="7937" max="7937" width="11.81640625" customWidth="1"/>
    <col min="7938" max="7938" width="5.81640625" customWidth="1"/>
    <col min="7939" max="7939" width="10.81640625" customWidth="1"/>
    <col min="7940" max="7940" width="5.81640625" customWidth="1"/>
    <col min="7941" max="7941" width="10.81640625" customWidth="1"/>
    <col min="7942" max="7942" width="15.6328125" customWidth="1"/>
    <col min="8191" max="8191" width="13.6328125" customWidth="1"/>
    <col min="8192" max="8192" width="17.81640625" customWidth="1"/>
    <col min="8193" max="8193" width="11.81640625" customWidth="1"/>
    <col min="8194" max="8194" width="5.81640625" customWidth="1"/>
    <col min="8195" max="8195" width="10.81640625" customWidth="1"/>
    <col min="8196" max="8196" width="5.81640625" customWidth="1"/>
    <col min="8197" max="8197" width="10.81640625" customWidth="1"/>
    <col min="8198" max="8198" width="15.6328125" customWidth="1"/>
    <col min="8447" max="8447" width="13.6328125" customWidth="1"/>
    <col min="8448" max="8448" width="17.81640625" customWidth="1"/>
    <col min="8449" max="8449" width="11.81640625" customWidth="1"/>
    <col min="8450" max="8450" width="5.81640625" customWidth="1"/>
    <col min="8451" max="8451" width="10.81640625" customWidth="1"/>
    <col min="8452" max="8452" width="5.81640625" customWidth="1"/>
    <col min="8453" max="8453" width="10.81640625" customWidth="1"/>
    <col min="8454" max="8454" width="15.6328125" customWidth="1"/>
    <col min="8703" max="8703" width="13.6328125" customWidth="1"/>
    <col min="8704" max="8704" width="17.81640625" customWidth="1"/>
    <col min="8705" max="8705" width="11.81640625" customWidth="1"/>
    <col min="8706" max="8706" width="5.81640625" customWidth="1"/>
    <col min="8707" max="8707" width="10.81640625" customWidth="1"/>
    <col min="8708" max="8708" width="5.81640625" customWidth="1"/>
    <col min="8709" max="8709" width="10.81640625" customWidth="1"/>
    <col min="8710" max="8710" width="15.6328125" customWidth="1"/>
    <col min="8959" max="8959" width="13.6328125" customWidth="1"/>
    <col min="8960" max="8960" width="17.81640625" customWidth="1"/>
    <col min="8961" max="8961" width="11.81640625" customWidth="1"/>
    <col min="8962" max="8962" width="5.81640625" customWidth="1"/>
    <col min="8963" max="8963" width="10.81640625" customWidth="1"/>
    <col min="8964" max="8964" width="5.81640625" customWidth="1"/>
    <col min="8965" max="8965" width="10.81640625" customWidth="1"/>
    <col min="8966" max="8966" width="15.6328125" customWidth="1"/>
    <col min="9215" max="9215" width="13.6328125" customWidth="1"/>
    <col min="9216" max="9216" width="17.81640625" customWidth="1"/>
    <col min="9217" max="9217" width="11.81640625" customWidth="1"/>
    <col min="9218" max="9218" width="5.81640625" customWidth="1"/>
    <col min="9219" max="9219" width="10.81640625" customWidth="1"/>
    <col min="9220" max="9220" width="5.81640625" customWidth="1"/>
    <col min="9221" max="9221" width="10.81640625" customWidth="1"/>
    <col min="9222" max="9222" width="15.6328125" customWidth="1"/>
    <col min="9471" max="9471" width="13.6328125" customWidth="1"/>
    <col min="9472" max="9472" width="17.81640625" customWidth="1"/>
    <col min="9473" max="9473" width="11.81640625" customWidth="1"/>
    <col min="9474" max="9474" width="5.81640625" customWidth="1"/>
    <col min="9475" max="9475" width="10.81640625" customWidth="1"/>
    <col min="9476" max="9476" width="5.81640625" customWidth="1"/>
    <col min="9477" max="9477" width="10.81640625" customWidth="1"/>
    <col min="9478" max="9478" width="15.6328125" customWidth="1"/>
    <col min="9727" max="9727" width="13.6328125" customWidth="1"/>
    <col min="9728" max="9728" width="17.81640625" customWidth="1"/>
    <col min="9729" max="9729" width="11.81640625" customWidth="1"/>
    <col min="9730" max="9730" width="5.81640625" customWidth="1"/>
    <col min="9731" max="9731" width="10.81640625" customWidth="1"/>
    <col min="9732" max="9732" width="5.81640625" customWidth="1"/>
    <col min="9733" max="9733" width="10.81640625" customWidth="1"/>
    <col min="9734" max="9734" width="15.6328125" customWidth="1"/>
    <col min="9983" max="9983" width="13.6328125" customWidth="1"/>
    <col min="9984" max="9984" width="17.81640625" customWidth="1"/>
    <col min="9985" max="9985" width="11.81640625" customWidth="1"/>
    <col min="9986" max="9986" width="5.81640625" customWidth="1"/>
    <col min="9987" max="9987" width="10.81640625" customWidth="1"/>
    <col min="9988" max="9988" width="5.81640625" customWidth="1"/>
    <col min="9989" max="9989" width="10.81640625" customWidth="1"/>
    <col min="9990" max="9990" width="15.6328125" customWidth="1"/>
    <col min="10239" max="10239" width="13.6328125" customWidth="1"/>
    <col min="10240" max="10240" width="17.81640625" customWidth="1"/>
    <col min="10241" max="10241" width="11.81640625" customWidth="1"/>
    <col min="10242" max="10242" width="5.81640625" customWidth="1"/>
    <col min="10243" max="10243" width="10.81640625" customWidth="1"/>
    <col min="10244" max="10244" width="5.81640625" customWidth="1"/>
    <col min="10245" max="10245" width="10.81640625" customWidth="1"/>
    <col min="10246" max="10246" width="15.6328125" customWidth="1"/>
    <col min="10495" max="10495" width="13.6328125" customWidth="1"/>
    <col min="10496" max="10496" width="17.81640625" customWidth="1"/>
    <col min="10497" max="10497" width="11.81640625" customWidth="1"/>
    <col min="10498" max="10498" width="5.81640625" customWidth="1"/>
    <col min="10499" max="10499" width="10.81640625" customWidth="1"/>
    <col min="10500" max="10500" width="5.81640625" customWidth="1"/>
    <col min="10501" max="10501" width="10.81640625" customWidth="1"/>
    <col min="10502" max="10502" width="15.6328125" customWidth="1"/>
    <col min="10751" max="10751" width="13.6328125" customWidth="1"/>
    <col min="10752" max="10752" width="17.81640625" customWidth="1"/>
    <col min="10753" max="10753" width="11.81640625" customWidth="1"/>
    <col min="10754" max="10754" width="5.81640625" customWidth="1"/>
    <col min="10755" max="10755" width="10.81640625" customWidth="1"/>
    <col min="10756" max="10756" width="5.81640625" customWidth="1"/>
    <col min="10757" max="10757" width="10.81640625" customWidth="1"/>
    <col min="10758" max="10758" width="15.6328125" customWidth="1"/>
    <col min="11007" max="11007" width="13.6328125" customWidth="1"/>
    <col min="11008" max="11008" width="17.81640625" customWidth="1"/>
    <col min="11009" max="11009" width="11.81640625" customWidth="1"/>
    <col min="11010" max="11010" width="5.81640625" customWidth="1"/>
    <col min="11011" max="11011" width="10.81640625" customWidth="1"/>
    <col min="11012" max="11012" width="5.81640625" customWidth="1"/>
    <col min="11013" max="11013" width="10.81640625" customWidth="1"/>
    <col min="11014" max="11014" width="15.6328125" customWidth="1"/>
    <col min="11263" max="11263" width="13.6328125" customWidth="1"/>
    <col min="11264" max="11264" width="17.81640625" customWidth="1"/>
    <col min="11265" max="11265" width="11.81640625" customWidth="1"/>
    <col min="11266" max="11266" width="5.81640625" customWidth="1"/>
    <col min="11267" max="11267" width="10.81640625" customWidth="1"/>
    <col min="11268" max="11268" width="5.81640625" customWidth="1"/>
    <col min="11269" max="11269" width="10.81640625" customWidth="1"/>
    <col min="11270" max="11270" width="15.6328125" customWidth="1"/>
    <col min="11519" max="11519" width="13.6328125" customWidth="1"/>
    <col min="11520" max="11520" width="17.81640625" customWidth="1"/>
    <col min="11521" max="11521" width="11.81640625" customWidth="1"/>
    <col min="11522" max="11522" width="5.81640625" customWidth="1"/>
    <col min="11523" max="11523" width="10.81640625" customWidth="1"/>
    <col min="11524" max="11524" width="5.81640625" customWidth="1"/>
    <col min="11525" max="11525" width="10.81640625" customWidth="1"/>
    <col min="11526" max="11526" width="15.6328125" customWidth="1"/>
    <col min="11775" max="11775" width="13.6328125" customWidth="1"/>
    <col min="11776" max="11776" width="17.81640625" customWidth="1"/>
    <col min="11777" max="11777" width="11.81640625" customWidth="1"/>
    <col min="11778" max="11778" width="5.81640625" customWidth="1"/>
    <col min="11779" max="11779" width="10.81640625" customWidth="1"/>
    <col min="11780" max="11780" width="5.81640625" customWidth="1"/>
    <col min="11781" max="11781" width="10.81640625" customWidth="1"/>
    <col min="11782" max="11782" width="15.6328125" customWidth="1"/>
    <col min="12031" max="12031" width="13.6328125" customWidth="1"/>
    <col min="12032" max="12032" width="17.81640625" customWidth="1"/>
    <col min="12033" max="12033" width="11.81640625" customWidth="1"/>
    <col min="12034" max="12034" width="5.81640625" customWidth="1"/>
    <col min="12035" max="12035" width="10.81640625" customWidth="1"/>
    <col min="12036" max="12036" width="5.81640625" customWidth="1"/>
    <col min="12037" max="12037" width="10.81640625" customWidth="1"/>
    <col min="12038" max="12038" width="15.6328125" customWidth="1"/>
    <col min="12287" max="12287" width="13.6328125" customWidth="1"/>
    <col min="12288" max="12288" width="17.81640625" customWidth="1"/>
    <col min="12289" max="12289" width="11.81640625" customWidth="1"/>
    <col min="12290" max="12290" width="5.81640625" customWidth="1"/>
    <col min="12291" max="12291" width="10.81640625" customWidth="1"/>
    <col min="12292" max="12292" width="5.81640625" customWidth="1"/>
    <col min="12293" max="12293" width="10.81640625" customWidth="1"/>
    <col min="12294" max="12294" width="15.6328125" customWidth="1"/>
    <col min="12543" max="12543" width="13.6328125" customWidth="1"/>
    <col min="12544" max="12544" width="17.81640625" customWidth="1"/>
    <col min="12545" max="12545" width="11.81640625" customWidth="1"/>
    <col min="12546" max="12546" width="5.81640625" customWidth="1"/>
    <col min="12547" max="12547" width="10.81640625" customWidth="1"/>
    <col min="12548" max="12548" width="5.81640625" customWidth="1"/>
    <col min="12549" max="12549" width="10.81640625" customWidth="1"/>
    <col min="12550" max="12550" width="15.6328125" customWidth="1"/>
    <col min="12799" max="12799" width="13.6328125" customWidth="1"/>
    <col min="12800" max="12800" width="17.81640625" customWidth="1"/>
    <col min="12801" max="12801" width="11.81640625" customWidth="1"/>
    <col min="12802" max="12802" width="5.81640625" customWidth="1"/>
    <col min="12803" max="12803" width="10.81640625" customWidth="1"/>
    <col min="12804" max="12804" width="5.81640625" customWidth="1"/>
    <col min="12805" max="12805" width="10.81640625" customWidth="1"/>
    <col min="12806" max="12806" width="15.6328125" customWidth="1"/>
    <col min="13055" max="13055" width="13.6328125" customWidth="1"/>
    <col min="13056" max="13056" width="17.81640625" customWidth="1"/>
    <col min="13057" max="13057" width="11.81640625" customWidth="1"/>
    <col min="13058" max="13058" width="5.81640625" customWidth="1"/>
    <col min="13059" max="13059" width="10.81640625" customWidth="1"/>
    <col min="13060" max="13060" width="5.81640625" customWidth="1"/>
    <col min="13061" max="13061" width="10.81640625" customWidth="1"/>
    <col min="13062" max="13062" width="15.6328125" customWidth="1"/>
    <col min="13311" max="13311" width="13.6328125" customWidth="1"/>
    <col min="13312" max="13312" width="17.81640625" customWidth="1"/>
    <col min="13313" max="13313" width="11.81640625" customWidth="1"/>
    <col min="13314" max="13314" width="5.81640625" customWidth="1"/>
    <col min="13315" max="13315" width="10.81640625" customWidth="1"/>
    <col min="13316" max="13316" width="5.81640625" customWidth="1"/>
    <col min="13317" max="13317" width="10.81640625" customWidth="1"/>
    <col min="13318" max="13318" width="15.6328125" customWidth="1"/>
    <col min="13567" max="13567" width="13.6328125" customWidth="1"/>
    <col min="13568" max="13568" width="17.81640625" customWidth="1"/>
    <col min="13569" max="13569" width="11.81640625" customWidth="1"/>
    <col min="13570" max="13570" width="5.81640625" customWidth="1"/>
    <col min="13571" max="13571" width="10.81640625" customWidth="1"/>
    <col min="13572" max="13572" width="5.81640625" customWidth="1"/>
    <col min="13573" max="13573" width="10.81640625" customWidth="1"/>
    <col min="13574" max="13574" width="15.6328125" customWidth="1"/>
    <col min="13823" max="13823" width="13.6328125" customWidth="1"/>
    <col min="13824" max="13824" width="17.81640625" customWidth="1"/>
    <col min="13825" max="13825" width="11.81640625" customWidth="1"/>
    <col min="13826" max="13826" width="5.81640625" customWidth="1"/>
    <col min="13827" max="13827" width="10.81640625" customWidth="1"/>
    <col min="13828" max="13828" width="5.81640625" customWidth="1"/>
    <col min="13829" max="13829" width="10.81640625" customWidth="1"/>
    <col min="13830" max="13830" width="15.6328125" customWidth="1"/>
    <col min="14079" max="14079" width="13.6328125" customWidth="1"/>
    <col min="14080" max="14080" width="17.81640625" customWidth="1"/>
    <col min="14081" max="14081" width="11.81640625" customWidth="1"/>
    <col min="14082" max="14082" width="5.81640625" customWidth="1"/>
    <col min="14083" max="14083" width="10.81640625" customWidth="1"/>
    <col min="14084" max="14084" width="5.81640625" customWidth="1"/>
    <col min="14085" max="14085" width="10.81640625" customWidth="1"/>
    <col min="14086" max="14086" width="15.6328125" customWidth="1"/>
    <col min="14335" max="14335" width="13.6328125" customWidth="1"/>
    <col min="14336" max="14336" width="17.81640625" customWidth="1"/>
    <col min="14337" max="14337" width="11.81640625" customWidth="1"/>
    <col min="14338" max="14338" width="5.81640625" customWidth="1"/>
    <col min="14339" max="14339" width="10.81640625" customWidth="1"/>
    <col min="14340" max="14340" width="5.81640625" customWidth="1"/>
    <col min="14341" max="14341" width="10.81640625" customWidth="1"/>
    <col min="14342" max="14342" width="15.6328125" customWidth="1"/>
    <col min="14591" max="14591" width="13.6328125" customWidth="1"/>
    <col min="14592" max="14592" width="17.81640625" customWidth="1"/>
    <col min="14593" max="14593" width="11.81640625" customWidth="1"/>
    <col min="14594" max="14594" width="5.81640625" customWidth="1"/>
    <col min="14595" max="14595" width="10.81640625" customWidth="1"/>
    <col min="14596" max="14596" width="5.81640625" customWidth="1"/>
    <col min="14597" max="14597" width="10.81640625" customWidth="1"/>
    <col min="14598" max="14598" width="15.6328125" customWidth="1"/>
    <col min="14847" max="14847" width="13.6328125" customWidth="1"/>
    <col min="14848" max="14848" width="17.81640625" customWidth="1"/>
    <col min="14849" max="14849" width="11.81640625" customWidth="1"/>
    <col min="14850" max="14850" width="5.81640625" customWidth="1"/>
    <col min="14851" max="14851" width="10.81640625" customWidth="1"/>
    <col min="14852" max="14852" width="5.81640625" customWidth="1"/>
    <col min="14853" max="14853" width="10.81640625" customWidth="1"/>
    <col min="14854" max="14854" width="15.6328125" customWidth="1"/>
    <col min="15103" max="15103" width="13.6328125" customWidth="1"/>
    <col min="15104" max="15104" width="17.81640625" customWidth="1"/>
    <col min="15105" max="15105" width="11.81640625" customWidth="1"/>
    <col min="15106" max="15106" width="5.81640625" customWidth="1"/>
    <col min="15107" max="15107" width="10.81640625" customWidth="1"/>
    <col min="15108" max="15108" width="5.81640625" customWidth="1"/>
    <col min="15109" max="15109" width="10.81640625" customWidth="1"/>
    <col min="15110" max="15110" width="15.6328125" customWidth="1"/>
    <col min="15359" max="15359" width="13.6328125" customWidth="1"/>
    <col min="15360" max="15360" width="17.81640625" customWidth="1"/>
    <col min="15361" max="15361" width="11.81640625" customWidth="1"/>
    <col min="15362" max="15362" width="5.81640625" customWidth="1"/>
    <col min="15363" max="15363" width="10.81640625" customWidth="1"/>
    <col min="15364" max="15364" width="5.81640625" customWidth="1"/>
    <col min="15365" max="15365" width="10.81640625" customWidth="1"/>
    <col min="15366" max="15366" width="15.6328125" customWidth="1"/>
    <col min="15615" max="15615" width="13.6328125" customWidth="1"/>
    <col min="15616" max="15616" width="17.81640625" customWidth="1"/>
    <col min="15617" max="15617" width="11.81640625" customWidth="1"/>
    <col min="15618" max="15618" width="5.81640625" customWidth="1"/>
    <col min="15619" max="15619" width="10.81640625" customWidth="1"/>
    <col min="15620" max="15620" width="5.81640625" customWidth="1"/>
    <col min="15621" max="15621" width="10.81640625" customWidth="1"/>
    <col min="15622" max="15622" width="15.6328125" customWidth="1"/>
    <col min="15871" max="15871" width="13.6328125" customWidth="1"/>
    <col min="15872" max="15872" width="17.81640625" customWidth="1"/>
    <col min="15873" max="15873" width="11.81640625" customWidth="1"/>
    <col min="15874" max="15874" width="5.81640625" customWidth="1"/>
    <col min="15875" max="15875" width="10.81640625" customWidth="1"/>
    <col min="15876" max="15876" width="5.81640625" customWidth="1"/>
    <col min="15877" max="15877" width="10.81640625" customWidth="1"/>
    <col min="15878" max="15878" width="15.6328125" customWidth="1"/>
    <col min="16127" max="16127" width="13.6328125" customWidth="1"/>
    <col min="16128" max="16128" width="17.81640625" customWidth="1"/>
    <col min="16129" max="16129" width="11.81640625" customWidth="1"/>
    <col min="16130" max="16130" width="5.81640625" customWidth="1"/>
    <col min="16131" max="16131" width="10.81640625" customWidth="1"/>
    <col min="16132" max="16132" width="5.81640625" customWidth="1"/>
    <col min="16133" max="16133" width="10.81640625" customWidth="1"/>
    <col min="16134" max="16134" width="15.6328125" customWidth="1"/>
  </cols>
  <sheetData>
    <row r="1" spans="1:6" ht="21" x14ac:dyDescent="0.4">
      <c r="A1" s="19" t="s">
        <v>73</v>
      </c>
      <c r="B1" s="20"/>
    </row>
    <row r="2" spans="1:6" ht="21" x14ac:dyDescent="0.4">
      <c r="A2" s="19" t="s">
        <v>99</v>
      </c>
      <c r="B2" s="19" t="s">
        <v>189</v>
      </c>
    </row>
    <row r="4" spans="1:6" ht="17.399999999999999" x14ac:dyDescent="0.3">
      <c r="A4" s="21" t="s">
        <v>94</v>
      </c>
      <c r="E4" s="22"/>
    </row>
    <row r="5" spans="1:6" x14ac:dyDescent="0.3">
      <c r="C5" s="22">
        <v>2024</v>
      </c>
      <c r="D5" s="24">
        <v>2025</v>
      </c>
      <c r="E5" s="22"/>
      <c r="F5" s="24"/>
    </row>
    <row r="6" spans="1:6" x14ac:dyDescent="0.3">
      <c r="C6" s="22" t="s">
        <v>96</v>
      </c>
      <c r="D6" s="24" t="s">
        <v>100</v>
      </c>
      <c r="E6" s="22"/>
      <c r="F6" s="24"/>
    </row>
    <row r="7" spans="1:6" x14ac:dyDescent="0.3">
      <c r="C7" s="22" t="s">
        <v>75</v>
      </c>
      <c r="D7" s="24" t="s">
        <v>75</v>
      </c>
      <c r="E7" s="22"/>
      <c r="F7" s="24"/>
    </row>
    <row r="8" spans="1:6" x14ac:dyDescent="0.3">
      <c r="F8" s="40"/>
    </row>
    <row r="9" spans="1:6" x14ac:dyDescent="0.3">
      <c r="A9" s="1" t="s">
        <v>78</v>
      </c>
      <c r="C9" s="25">
        <v>1500</v>
      </c>
      <c r="D9" s="67">
        <v>1500</v>
      </c>
      <c r="E9" s="2"/>
      <c r="F9" s="40"/>
    </row>
    <row r="10" spans="1:6" s="27" customFormat="1" ht="18" thickBot="1" x14ac:dyDescent="0.35">
      <c r="A10" s="26" t="s">
        <v>79</v>
      </c>
      <c r="C10" s="71">
        <v>1500</v>
      </c>
      <c r="D10" s="33">
        <f>D9</f>
        <v>1500</v>
      </c>
      <c r="E10" s="30"/>
      <c r="F10" s="29"/>
    </row>
    <row r="11" spans="1:6" ht="16.2" thickTop="1" x14ac:dyDescent="0.3">
      <c r="C11" s="2"/>
      <c r="D11" s="40"/>
      <c r="E11" s="2"/>
      <c r="F11" s="40"/>
    </row>
    <row r="12" spans="1:6" x14ac:dyDescent="0.3">
      <c r="A12" s="1" t="s">
        <v>80</v>
      </c>
      <c r="C12" s="2">
        <v>0</v>
      </c>
      <c r="D12" s="40"/>
      <c r="E12" s="2"/>
      <c r="F12" s="40"/>
    </row>
    <row r="13" spans="1:6" x14ac:dyDescent="0.3">
      <c r="A13" s="1" t="s">
        <v>81</v>
      </c>
      <c r="C13" s="25">
        <v>0</v>
      </c>
      <c r="D13" s="67"/>
      <c r="E13" s="2"/>
      <c r="F13" s="40"/>
    </row>
    <row r="14" spans="1:6" s="27" customFormat="1" ht="18" thickBot="1" x14ac:dyDescent="0.35">
      <c r="A14" s="26" t="s">
        <v>79</v>
      </c>
      <c r="C14" s="78">
        <v>0</v>
      </c>
      <c r="D14" s="33"/>
      <c r="E14" s="30"/>
      <c r="F14" s="29"/>
    </row>
    <row r="15" spans="1:6" ht="16.2" thickTop="1" x14ac:dyDescent="0.3">
      <c r="C15" s="2"/>
      <c r="D15" s="40"/>
      <c r="E15" s="2"/>
      <c r="F15" s="40"/>
    </row>
    <row r="16" spans="1:6" x14ac:dyDescent="0.3">
      <c r="A16" s="1" t="s">
        <v>82</v>
      </c>
      <c r="C16" s="2">
        <v>2000</v>
      </c>
      <c r="D16" s="40">
        <v>2200</v>
      </c>
      <c r="E16" s="2"/>
      <c r="F16" s="40"/>
    </row>
    <row r="17" spans="1:8" x14ac:dyDescent="0.3">
      <c r="A17" s="1" t="s">
        <v>83</v>
      </c>
      <c r="C17" s="25"/>
      <c r="D17" s="67">
        <v>23484</v>
      </c>
      <c r="E17" s="2"/>
      <c r="F17" s="40"/>
    </row>
    <row r="18" spans="1:8" s="27" customFormat="1" ht="18" thickBot="1" x14ac:dyDescent="0.35">
      <c r="A18" s="26" t="s">
        <v>79</v>
      </c>
      <c r="C18" s="78">
        <f>SUM(C16:C17)</f>
        <v>2000</v>
      </c>
      <c r="D18" s="33">
        <f>SUM(D16+D17)</f>
        <v>25684</v>
      </c>
      <c r="E18" s="30"/>
      <c r="F18" s="29"/>
    </row>
    <row r="19" spans="1:8" ht="16.2" thickTop="1" x14ac:dyDescent="0.3">
      <c r="E19" s="2"/>
    </row>
    <row r="20" spans="1:8" x14ac:dyDescent="0.3">
      <c r="E20" s="2"/>
    </row>
    <row r="21" spans="1:8" s="27" customFormat="1" ht="17.399999999999999" x14ac:dyDescent="0.3">
      <c r="A21" s="31" t="s">
        <v>84</v>
      </c>
      <c r="C21" s="30">
        <f>SUM(C10+C14+C18)</f>
        <v>3500</v>
      </c>
      <c r="D21" s="29">
        <f>SUM(D10+D14+D18)</f>
        <v>27184</v>
      </c>
      <c r="E21" s="30"/>
      <c r="F21" s="29"/>
    </row>
    <row r="22" spans="1:8" s="27" customFormat="1" ht="17.399999999999999" x14ac:dyDescent="0.3">
      <c r="A22" s="31" t="s">
        <v>85</v>
      </c>
      <c r="C22" s="72">
        <f>'2025 Budget'!C103</f>
        <v>19018.168674698794</v>
      </c>
      <c r="D22" s="32">
        <f>'2025 Budget'!D103</f>
        <v>19801.734939759037</v>
      </c>
      <c r="E22" s="30"/>
      <c r="F22" s="29"/>
    </row>
    <row r="23" spans="1:8" s="27" customFormat="1" ht="18" thickBot="1" x14ac:dyDescent="0.35">
      <c r="A23" s="31" t="s">
        <v>86</v>
      </c>
      <c r="C23" s="73">
        <f>SUM(C21+C22)</f>
        <v>22518.168674698794</v>
      </c>
      <c r="D23" s="33">
        <f>SUM(D21+D22)</f>
        <v>46985.734939759037</v>
      </c>
      <c r="E23" s="30"/>
      <c r="F23" s="29"/>
      <c r="G23" s="30"/>
    </row>
    <row r="24" spans="1:8" s="27" customFormat="1" ht="18" thickTop="1" x14ac:dyDescent="0.3">
      <c r="A24" s="31"/>
      <c r="C24" s="30"/>
      <c r="D24" s="29"/>
      <c r="E24" s="30"/>
      <c r="F24" s="29"/>
      <c r="G24" s="30"/>
    </row>
    <row r="25" spans="1:8" s="27" customFormat="1" ht="17.399999999999999" x14ac:dyDescent="0.3">
      <c r="A25" s="31" t="s">
        <v>87</v>
      </c>
      <c r="C25" s="30"/>
      <c r="D25" s="29"/>
      <c r="E25" s="30"/>
      <c r="F25" s="29"/>
      <c r="G25" s="30"/>
    </row>
    <row r="26" spans="1:8" x14ac:dyDescent="0.3">
      <c r="C26" s="17"/>
      <c r="D26" s="68"/>
      <c r="E26" s="34"/>
      <c r="F26" s="40"/>
      <c r="G26" s="2"/>
      <c r="H26" s="35"/>
    </row>
    <row r="27" spans="1:8" ht="16.8" x14ac:dyDescent="0.3">
      <c r="A27" s="36" t="s">
        <v>153</v>
      </c>
      <c r="C27" s="17"/>
      <c r="D27" s="68"/>
      <c r="E27" s="34"/>
      <c r="F27" s="40"/>
      <c r="G27" s="2"/>
      <c r="H27" s="35"/>
    </row>
    <row r="28" spans="1:8" x14ac:dyDescent="0.3">
      <c r="C28" s="83"/>
      <c r="D28" s="23" t="s">
        <v>88</v>
      </c>
      <c r="E28" s="37"/>
    </row>
    <row r="29" spans="1:8" x14ac:dyDescent="0.3">
      <c r="C29" s="40"/>
      <c r="E29" s="37"/>
    </row>
    <row r="30" spans="1:8" x14ac:dyDescent="0.3">
      <c r="A30" s="23" t="s">
        <v>105</v>
      </c>
      <c r="C30" s="48"/>
      <c r="D30" s="40">
        <f>D21</f>
        <v>27184</v>
      </c>
      <c r="E30" s="2"/>
      <c r="F30" s="40"/>
      <c r="G30" s="2"/>
    </row>
    <row r="31" spans="1:8" x14ac:dyDescent="0.3">
      <c r="A31" s="23" t="s">
        <v>103</v>
      </c>
      <c r="C31" s="48"/>
      <c r="D31" s="67">
        <f>D22</f>
        <v>19801.734939759037</v>
      </c>
      <c r="E31" s="2"/>
      <c r="F31" s="40"/>
      <c r="G31" s="2"/>
    </row>
    <row r="32" spans="1:8" ht="18" thickBot="1" x14ac:dyDescent="0.35">
      <c r="A32" s="23" t="s">
        <v>104</v>
      </c>
      <c r="C32" s="47"/>
      <c r="D32" s="101">
        <f>SUM(D30:D31)</f>
        <v>46985.734939759037</v>
      </c>
      <c r="E32" s="2"/>
      <c r="F32" s="40"/>
    </row>
    <row r="33" spans="1:6" ht="18" thickTop="1" x14ac:dyDescent="0.3">
      <c r="A33" s="23"/>
      <c r="C33" s="47"/>
      <c r="D33" s="40"/>
      <c r="E33" s="2"/>
      <c r="F33" s="40"/>
    </row>
    <row r="34" spans="1:6" x14ac:dyDescent="0.3">
      <c r="A34" s="23" t="s">
        <v>147</v>
      </c>
      <c r="B34" s="23"/>
      <c r="C34" s="48"/>
      <c r="D34" s="40"/>
      <c r="E34" s="2"/>
      <c r="F34" s="40"/>
    </row>
    <row r="35" spans="1:6" x14ac:dyDescent="0.3">
      <c r="A35" s="84" t="s">
        <v>160</v>
      </c>
      <c r="C35" s="48"/>
      <c r="D35" s="74">
        <v>5200</v>
      </c>
      <c r="E35" s="2"/>
      <c r="F35" s="40"/>
    </row>
    <row r="36" spans="1:6" ht="16.2" thickBot="1" x14ac:dyDescent="0.35">
      <c r="A36" s="23" t="s">
        <v>155</v>
      </c>
      <c r="C36" s="48"/>
      <c r="D36" s="92">
        <f>SUM(D32+D35)</f>
        <v>52185.734939759037</v>
      </c>
      <c r="E36" s="2"/>
      <c r="F36" s="40"/>
    </row>
    <row r="37" spans="1:6" ht="18" thickTop="1" x14ac:dyDescent="0.3">
      <c r="A37" s="21"/>
      <c r="C37" s="29"/>
      <c r="D37" s="29"/>
      <c r="E37" s="37"/>
      <c r="F37" s="40"/>
    </row>
    <row r="38" spans="1:6" ht="17.399999999999999" x14ac:dyDescent="0.3">
      <c r="A38" s="21" t="s">
        <v>156</v>
      </c>
      <c r="C38" s="40"/>
    </row>
    <row r="39" spans="1:6" x14ac:dyDescent="0.3">
      <c r="A39" s="44"/>
      <c r="C39" s="48"/>
    </row>
    <row r="40" spans="1:6" ht="17.399999999999999" x14ac:dyDescent="0.3">
      <c r="A40" s="23" t="s">
        <v>157</v>
      </c>
      <c r="C40" s="85"/>
      <c r="D40" s="85">
        <f>3463+1205</f>
        <v>4668</v>
      </c>
    </row>
    <row r="41" spans="1:6" x14ac:dyDescent="0.3">
      <c r="A41" s="23" t="s">
        <v>106</v>
      </c>
      <c r="C41" s="69"/>
      <c r="D41" s="93">
        <v>325</v>
      </c>
    </row>
    <row r="42" spans="1:6" ht="16.2" thickBot="1" x14ac:dyDescent="0.35">
      <c r="A42" s="23" t="s">
        <v>116</v>
      </c>
      <c r="B42" s="23"/>
      <c r="C42" s="53"/>
      <c r="D42" s="96">
        <f>SUM(D40+D41)</f>
        <v>4993</v>
      </c>
    </row>
    <row r="43" spans="1:6" ht="15.75" customHeight="1" thickTop="1" x14ac:dyDescent="0.3">
      <c r="C43" s="53"/>
      <c r="D43" s="53"/>
    </row>
    <row r="44" spans="1:6" x14ac:dyDescent="0.3">
      <c r="A44" s="23" t="s">
        <v>120</v>
      </c>
      <c r="C44" s="53"/>
      <c r="D44" s="53">
        <v>1205</v>
      </c>
    </row>
    <row r="45" spans="1:6" x14ac:dyDescent="0.3">
      <c r="A45" s="23" t="s">
        <v>106</v>
      </c>
      <c r="C45" s="53"/>
      <c r="D45" s="95">
        <v>325</v>
      </c>
    </row>
    <row r="46" spans="1:6" ht="16.2" thickBot="1" x14ac:dyDescent="0.35">
      <c r="A46" s="23" t="s">
        <v>116</v>
      </c>
      <c r="C46" s="53"/>
      <c r="D46" s="96">
        <f>SUM(D44+D45)</f>
        <v>1530</v>
      </c>
    </row>
    <row r="47" spans="1:6" ht="16.2" thickTop="1" x14ac:dyDescent="0.3">
      <c r="A47" s="44"/>
      <c r="C47" s="53"/>
      <c r="D47" s="53"/>
    </row>
    <row r="48" spans="1:6" x14ac:dyDescent="0.3">
      <c r="A48" s="23" t="s">
        <v>158</v>
      </c>
      <c r="B48" s="23" t="s">
        <v>185</v>
      </c>
      <c r="C48" s="53"/>
      <c r="D48" s="53">
        <f>13046*4</f>
        <v>52184</v>
      </c>
    </row>
    <row r="49" spans="1:6" x14ac:dyDescent="0.3">
      <c r="A49" s="44"/>
      <c r="C49" s="53"/>
      <c r="D49" s="40"/>
      <c r="F49" s="40"/>
    </row>
    <row r="50" spans="1:6" x14ac:dyDescent="0.3">
      <c r="A50" s="23"/>
      <c r="C50" s="53"/>
    </row>
    <row r="51" spans="1:6" x14ac:dyDescent="0.3">
      <c r="C51" s="42"/>
    </row>
    <row r="52" spans="1:6" x14ac:dyDescent="0.3">
      <c r="A52" s="23" t="s">
        <v>171</v>
      </c>
      <c r="C52" s="53">
        <v>11518</v>
      </c>
      <c r="D52" s="53"/>
    </row>
    <row r="53" spans="1:6" x14ac:dyDescent="0.3">
      <c r="A53" s="23" t="s">
        <v>172</v>
      </c>
      <c r="C53" s="53">
        <v>1250</v>
      </c>
      <c r="D53" s="53"/>
    </row>
    <row r="54" spans="1:6" x14ac:dyDescent="0.3">
      <c r="A54" s="23" t="s">
        <v>173</v>
      </c>
      <c r="D54" s="53">
        <f>C52+C53</f>
        <v>12768</v>
      </c>
    </row>
    <row r="55" spans="1:6" x14ac:dyDescent="0.3">
      <c r="A55" s="23" t="s">
        <v>170</v>
      </c>
      <c r="D55" s="53">
        <f>13046-12768</f>
        <v>278</v>
      </c>
    </row>
  </sheetData>
  <pageMargins left="0.7" right="0.7" top="0.75" bottom="0.75" header="0.3" footer="0.3"/>
  <pageSetup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 Budget</vt:lpstr>
      <vt:lpstr>Ins Budget</vt:lpstr>
      <vt:lpstr>Bldg 1</vt:lpstr>
      <vt:lpstr>Bldg 2</vt:lpstr>
      <vt:lpstr>Bldg 3</vt:lpstr>
      <vt:lpstr>Bldg 4</vt:lpstr>
      <vt:lpstr>Bldg 5</vt:lpstr>
      <vt:lpstr>Gulf</vt:lpstr>
      <vt:lpstr>NV</vt:lpstr>
      <vt:lpstr>SV</vt:lpstr>
      <vt:lpstr>Annual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</dc:creator>
  <cp:keywords/>
  <dc:description/>
  <cp:lastModifiedBy>Janet Kaplan</cp:lastModifiedBy>
  <cp:revision/>
  <cp:lastPrinted>2024-09-18T00:05:01Z</cp:lastPrinted>
  <dcterms:created xsi:type="dcterms:W3CDTF">2018-09-14T13:50:16Z</dcterms:created>
  <dcterms:modified xsi:type="dcterms:W3CDTF">2024-11-27T14:34:19Z</dcterms:modified>
  <cp:category/>
  <cp:contentStatus/>
</cp:coreProperties>
</file>